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325" windowHeight="9735" tabRatio="517"/>
  </bookViews>
  <sheets>
    <sheet name="01 MACRO" sheetId="23" r:id="rId1"/>
    <sheet name="02.1 PRODUCCION" sheetId="24" r:id="rId2"/>
    <sheet name="02.2 PRODUCCION EMPRESAS" sheetId="25" r:id="rId3"/>
    <sheet name="02.3 PRODUCCION REGIONES" sheetId="10" r:id="rId4"/>
    <sheet name="03.1 EXPORTACIONES MINERAS" sheetId="3" r:id="rId5"/>
    <sheet name="03.2 PARTICP. EXPORTACIONES" sheetId="11" r:id="rId6"/>
    <sheet name="03.3 PRODUCTOS EXPORTACIONES" sheetId="35" r:id="rId7"/>
    <sheet name="04 PRECIOS" sheetId="4" r:id="rId8"/>
    <sheet name="08.1 TRANSF. REGIONES" sheetId="15" r:id="rId9"/>
    <sheet name="08.2 TRANSF. CANON" sheetId="16" r:id="rId10"/>
    <sheet name="08.3 REGALIAS MINERAS" sheetId="17" r:id="rId11"/>
    <sheet name="08.4 DER. VIGENCIA PENALIDAD" sheetId="18" r:id="rId12"/>
    <sheet name="NUEVO REGIMEN TRIBUTARIO" sheetId="33" r:id="rId13"/>
    <sheet name="10 AREAS RESTRINGIDAS" sheetId="19" r:id="rId14"/>
    <sheet name="SALDO IED por SECTOR" sheetId="32" state="hidden" r:id="rId15"/>
    <sheet name="CATASTRO" sheetId="34" r:id="rId16"/>
    <sheet name="INVERSION" sheetId="36" r:id="rId17"/>
    <sheet name="INVERSION - EMPRESAS" sheetId="37" r:id="rId18"/>
    <sheet name="INVERSION REGIONES" sheetId="39" r:id="rId19"/>
    <sheet name="INVERSION - RUBROS" sheetId="38" r:id="rId20"/>
    <sheet name="INVERSION -EVOLUCION" sheetId="40" r:id="rId21"/>
    <sheet name="CARTERA DE PROYECTOS" sheetId="41" r:id="rId22"/>
    <sheet name="EMPLEO" sheetId="42" r:id="rId23"/>
    <sheet name="EMPLEO - REGIONES" sheetId="43" r:id="rId24"/>
  </sheets>
  <externalReferences>
    <externalReference r:id="rId25"/>
    <externalReference r:id="rId26"/>
    <externalReference r:id="rId27"/>
    <externalReference r:id="rId28"/>
  </externalReferences>
  <calcPr calcId="145621"/>
  <pivotCaches>
    <pivotCache cacheId="3" r:id="rId29"/>
  </pivotCaches>
</workbook>
</file>

<file path=xl/calcChain.xml><?xml version="1.0" encoding="utf-8"?>
<calcChain xmlns="http://schemas.openxmlformats.org/spreadsheetml/2006/main">
  <c r="AA50" i="3" l="1"/>
  <c r="I27" i="39"/>
  <c r="K33" i="39"/>
  <c r="K31" i="39"/>
  <c r="K30" i="39"/>
  <c r="K29" i="39"/>
  <c r="K27" i="39"/>
  <c r="K26" i="39"/>
  <c r="K25" i="39"/>
  <c r="K23" i="39"/>
  <c r="K22" i="39"/>
  <c r="K21" i="39"/>
  <c r="K19" i="39"/>
  <c r="K18" i="39"/>
  <c r="K17" i="39"/>
  <c r="K15" i="39"/>
  <c r="K14" i="39"/>
  <c r="K13" i="39"/>
  <c r="K12" i="39"/>
  <c r="K36" i="39"/>
  <c r="K32" i="39"/>
  <c r="K28" i="39"/>
  <c r="K24" i="39"/>
  <c r="K20" i="39"/>
  <c r="K16" i="39"/>
  <c r="G28" i="37"/>
  <c r="R98" i="36"/>
  <c r="Q98" i="36"/>
  <c r="P98" i="36"/>
  <c r="S97" i="36"/>
  <c r="S96" i="36"/>
  <c r="S95" i="36"/>
  <c r="S94" i="36"/>
  <c r="S93" i="36"/>
  <c r="S92" i="36"/>
  <c r="S91" i="36"/>
  <c r="R85" i="36"/>
  <c r="S85" i="36" s="1"/>
  <c r="Q85" i="36"/>
  <c r="P85" i="36"/>
  <c r="R84" i="36"/>
  <c r="Q84" i="36"/>
  <c r="P84" i="36"/>
  <c r="S84" i="36" s="1"/>
  <c r="R83" i="36"/>
  <c r="S83" i="36" s="1"/>
  <c r="Q83" i="36"/>
  <c r="P83" i="36"/>
  <c r="R82" i="36"/>
  <c r="Q82" i="36"/>
  <c r="P82" i="36"/>
  <c r="S82" i="36" s="1"/>
  <c r="R81" i="36"/>
  <c r="S81" i="36" s="1"/>
  <c r="Q81" i="36"/>
  <c r="P81" i="36"/>
  <c r="R80" i="36"/>
  <c r="Q80" i="36"/>
  <c r="P80" i="36"/>
  <c r="P86" i="36" s="1"/>
  <c r="R79" i="36"/>
  <c r="R86" i="36" s="1"/>
  <c r="Q79" i="36"/>
  <c r="Q86" i="36" s="1"/>
  <c r="P79" i="36"/>
  <c r="E46" i="36"/>
  <c r="E45" i="36"/>
  <c r="J44" i="36"/>
  <c r="I43" i="36"/>
  <c r="I46" i="36" s="1"/>
  <c r="H43" i="36"/>
  <c r="H46" i="36" s="1"/>
  <c r="G43" i="36"/>
  <c r="G46" i="36" s="1"/>
  <c r="F43" i="36"/>
  <c r="F45" i="36" s="1"/>
  <c r="E43" i="36"/>
  <c r="D43" i="36"/>
  <c r="D46" i="36" s="1"/>
  <c r="C43" i="36"/>
  <c r="C46" i="36" s="1"/>
  <c r="J41" i="36"/>
  <c r="J40" i="36"/>
  <c r="J39" i="36"/>
  <c r="J38" i="36"/>
  <c r="J43" i="36" s="1"/>
  <c r="J32" i="36"/>
  <c r="J31" i="36"/>
  <c r="J30" i="36"/>
  <c r="J29" i="36"/>
  <c r="J28" i="36"/>
  <c r="J27" i="36"/>
  <c r="J26" i="36"/>
  <c r="B32" i="43"/>
  <c r="C31" i="43" s="1"/>
  <c r="B19" i="43"/>
  <c r="C19" i="43" s="1"/>
  <c r="B15" i="43"/>
  <c r="C15" i="43" s="1"/>
  <c r="B11" i="43"/>
  <c r="C11" i="43" s="1"/>
  <c r="B10" i="43"/>
  <c r="C10" i="43" s="1"/>
  <c r="B9" i="43"/>
  <c r="E35" i="42"/>
  <c r="D35" i="42"/>
  <c r="C35" i="42"/>
  <c r="E33" i="42"/>
  <c r="E28" i="42"/>
  <c r="E27" i="42"/>
  <c r="D26" i="42"/>
  <c r="D24" i="42" s="1"/>
  <c r="C26" i="42"/>
  <c r="E25" i="42"/>
  <c r="C24" i="42"/>
  <c r="I23" i="42"/>
  <c r="I19" i="42"/>
  <c r="I15" i="42"/>
  <c r="I14" i="42"/>
  <c r="I13" i="42"/>
  <c r="I36" i="42" s="1"/>
  <c r="J46" i="36" l="1"/>
  <c r="J45" i="36"/>
  <c r="S79" i="36"/>
  <c r="I45" i="36"/>
  <c r="S80" i="36"/>
  <c r="C45" i="36"/>
  <c r="D45" i="36"/>
  <c r="F46" i="36"/>
  <c r="G45" i="36"/>
  <c r="H45" i="36"/>
  <c r="C17" i="43"/>
  <c r="C32" i="43"/>
  <c r="C12" i="43"/>
  <c r="C26" i="43"/>
  <c r="C24" i="43"/>
  <c r="C25" i="43"/>
  <c r="C13" i="43"/>
  <c r="C27" i="43"/>
  <c r="C18" i="43"/>
  <c r="C14" i="43"/>
  <c r="C20" i="43"/>
  <c r="C28" i="43"/>
  <c r="C9" i="43"/>
  <c r="C21" i="43"/>
  <c r="C29" i="43"/>
  <c r="C22" i="43"/>
  <c r="C30" i="43"/>
  <c r="C16" i="43"/>
  <c r="C23" i="43"/>
  <c r="J15" i="42"/>
  <c r="J29" i="42"/>
  <c r="J16" i="42"/>
  <c r="J18" i="42"/>
  <c r="J30" i="42"/>
  <c r="J23" i="42"/>
  <c r="J28" i="42"/>
  <c r="J25" i="42"/>
  <c r="J22" i="42"/>
  <c r="J34" i="42"/>
  <c r="J21" i="42"/>
  <c r="J32" i="42"/>
  <c r="J26" i="42"/>
  <c r="J31" i="42"/>
  <c r="J17" i="42"/>
  <c r="J33" i="42"/>
  <c r="J27" i="42"/>
  <c r="J24" i="42"/>
  <c r="J20" i="42"/>
  <c r="J36" i="42"/>
  <c r="J35" i="42"/>
  <c r="J14" i="42"/>
  <c r="J19" i="42"/>
  <c r="E26" i="42"/>
  <c r="E24" i="42" s="1"/>
  <c r="J13" i="42"/>
  <c r="M19" i="35" l="1"/>
  <c r="M18" i="35"/>
  <c r="M17" i="35"/>
  <c r="M16" i="35"/>
  <c r="M15" i="35"/>
  <c r="M14" i="35"/>
  <c r="M13" i="35"/>
  <c r="M12" i="35"/>
  <c r="M11" i="35"/>
  <c r="M10" i="35"/>
  <c r="M9" i="35"/>
  <c r="M8" i="35"/>
  <c r="P10" i="40" l="1"/>
  <c r="BA52" i="39"/>
  <c r="M44" i="39"/>
  <c r="L44" i="39"/>
  <c r="AN41" i="39"/>
  <c r="AM41" i="39"/>
  <c r="AN40" i="39"/>
  <c r="AM40" i="39"/>
  <c r="E36" i="39"/>
  <c r="E33" i="39"/>
  <c r="E32" i="39"/>
  <c r="E31" i="39"/>
  <c r="AI30" i="39"/>
  <c r="AH30" i="39"/>
  <c r="E30" i="39"/>
  <c r="AI29" i="39"/>
  <c r="AH29" i="39"/>
  <c r="E29" i="39"/>
  <c r="AI28" i="39"/>
  <c r="AH28" i="39"/>
  <c r="E28" i="39"/>
  <c r="AI27" i="39"/>
  <c r="AH27" i="39"/>
  <c r="E27" i="39"/>
  <c r="AI26" i="39"/>
  <c r="AH26" i="39"/>
  <c r="E26" i="39"/>
  <c r="AI25" i="39"/>
  <c r="AH25" i="39"/>
  <c r="E25" i="39"/>
  <c r="AI24" i="39"/>
  <c r="AH24" i="39"/>
  <c r="E24" i="39"/>
  <c r="AI23" i="39"/>
  <c r="AH23" i="39"/>
  <c r="E23" i="39"/>
  <c r="AI22" i="39"/>
  <c r="AH22" i="39"/>
  <c r="E22" i="39"/>
  <c r="AI21" i="39"/>
  <c r="AH21" i="39"/>
  <c r="E21" i="39"/>
  <c r="AI20" i="39"/>
  <c r="AH20" i="39"/>
  <c r="E20" i="39"/>
  <c r="AI19" i="39"/>
  <c r="AH19" i="39"/>
  <c r="E19" i="39"/>
  <c r="AI18" i="39"/>
  <c r="AH18" i="39"/>
  <c r="E18" i="39"/>
  <c r="AI17" i="39"/>
  <c r="AH17" i="39"/>
  <c r="E17" i="39"/>
  <c r="AI16" i="39"/>
  <c r="AH16" i="39"/>
  <c r="E16" i="39"/>
  <c r="AI15" i="39"/>
  <c r="AH15" i="39"/>
  <c r="E15" i="39"/>
  <c r="AI14" i="39"/>
  <c r="AH14" i="39"/>
  <c r="E14" i="39"/>
  <c r="AI13" i="39"/>
  <c r="AH13" i="39"/>
  <c r="E13" i="39"/>
  <c r="AI12" i="39"/>
  <c r="AH12" i="39"/>
  <c r="E12" i="39"/>
  <c r="AI11" i="39"/>
  <c r="AH11" i="39"/>
  <c r="AI10" i="39"/>
  <c r="AI32" i="39" s="1"/>
  <c r="AH10" i="39"/>
  <c r="AI9" i="39"/>
  <c r="AH9" i="39"/>
  <c r="AI8" i="39"/>
  <c r="AH8" i="39"/>
  <c r="AI7" i="39"/>
  <c r="AH7" i="39"/>
  <c r="AH32" i="39" s="1"/>
  <c r="E81" i="38"/>
  <c r="D80" i="38"/>
  <c r="E80" i="38" s="1"/>
  <c r="C80" i="38"/>
  <c r="E78" i="38"/>
  <c r="E77" i="38"/>
  <c r="E74" i="38"/>
  <c r="E73" i="38"/>
  <c r="E71" i="38"/>
  <c r="N62" i="38"/>
  <c r="E62" i="38"/>
  <c r="N61" i="38"/>
  <c r="M61" i="38"/>
  <c r="L61" i="38"/>
  <c r="D61" i="38"/>
  <c r="E61" i="38" s="1"/>
  <c r="C61" i="38"/>
  <c r="E60" i="38"/>
  <c r="E59" i="38"/>
  <c r="N58" i="38"/>
  <c r="E58" i="38"/>
  <c r="N57" i="38"/>
  <c r="E57" i="38"/>
  <c r="E56" i="38"/>
  <c r="N54" i="38"/>
  <c r="N53" i="38"/>
  <c r="E53" i="38"/>
  <c r="N52" i="38"/>
  <c r="E52" i="38"/>
  <c r="N51" i="38"/>
  <c r="E51" i="38"/>
  <c r="N43" i="38"/>
  <c r="E43" i="38"/>
  <c r="M42" i="38"/>
  <c r="N42" i="38" s="1"/>
  <c r="L42" i="38"/>
  <c r="D42" i="38"/>
  <c r="E42" i="38" s="1"/>
  <c r="C42" i="38"/>
  <c r="N41" i="38"/>
  <c r="N40" i="38"/>
  <c r="N39" i="38"/>
  <c r="E39" i="38"/>
  <c r="N38" i="38"/>
  <c r="E38" i="38"/>
  <c r="E37" i="38"/>
  <c r="N36" i="38"/>
  <c r="E36" i="38"/>
  <c r="N34" i="38"/>
  <c r="N33" i="38"/>
  <c r="E33" i="38"/>
  <c r="N32" i="38"/>
  <c r="E32" i="38"/>
  <c r="N23" i="38"/>
  <c r="E23" i="38"/>
  <c r="M22" i="38"/>
  <c r="N22" i="38" s="1"/>
  <c r="L22" i="38"/>
  <c r="D22" i="38"/>
  <c r="E22" i="38" s="1"/>
  <c r="C22" i="38"/>
  <c r="N21" i="38"/>
  <c r="N20" i="38"/>
  <c r="E19" i="38"/>
  <c r="E18" i="38"/>
  <c r="N16" i="38"/>
  <c r="E16" i="38"/>
  <c r="N15" i="38"/>
  <c r="E15" i="38"/>
  <c r="E14" i="38"/>
  <c r="N13" i="38"/>
  <c r="E13" i="38"/>
  <c r="F61" i="37"/>
  <c r="E61" i="37"/>
  <c r="F60" i="37"/>
  <c r="E60" i="37"/>
  <c r="G59" i="37"/>
  <c r="F58" i="37"/>
  <c r="G58" i="37" s="1"/>
  <c r="E58" i="37"/>
  <c r="G57" i="37"/>
  <c r="G56" i="37"/>
  <c r="G55" i="37"/>
  <c r="G54" i="37"/>
  <c r="G52" i="37"/>
  <c r="G51" i="37"/>
  <c r="G50" i="37"/>
  <c r="G49" i="37"/>
  <c r="G48" i="37"/>
  <c r="G47" i="37"/>
  <c r="G46" i="37"/>
  <c r="G45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6" i="37"/>
  <c r="G25" i="37"/>
  <c r="G24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C41" i="19"/>
  <c r="E17" i="19"/>
  <c r="D19" i="19"/>
  <c r="C19" i="19"/>
  <c r="H80" i="33"/>
  <c r="AB59" i="3" l="1"/>
  <c r="E58" i="10"/>
  <c r="I22" i="23"/>
  <c r="O8" i="35" l="1"/>
  <c r="L96" i="3"/>
  <c r="U96" i="3"/>
  <c r="T96" i="3"/>
  <c r="S96" i="3"/>
  <c r="R96" i="3"/>
  <c r="Q96" i="3"/>
  <c r="P96" i="3"/>
  <c r="O96" i="3"/>
  <c r="N96" i="3"/>
  <c r="M96" i="3"/>
  <c r="H79" i="33" l="1"/>
  <c r="H77" i="33" l="1"/>
  <c r="H78" i="33"/>
  <c r="I30" i="4"/>
  <c r="H30" i="4"/>
  <c r="I21" i="23" l="1"/>
  <c r="E41" i="10" l="1"/>
  <c r="B23" i="24"/>
  <c r="C23" i="24"/>
  <c r="B34" i="15" l="1"/>
  <c r="M24" i="11"/>
  <c r="C26" i="11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I20" i="23"/>
  <c r="M59" i="3" l="1"/>
  <c r="D31" i="19" l="1"/>
  <c r="D32" i="19"/>
  <c r="D33" i="19"/>
  <c r="D34" i="19"/>
  <c r="D35" i="19"/>
  <c r="D36" i="19"/>
  <c r="D37" i="19"/>
  <c r="D38" i="19"/>
  <c r="G89" i="33"/>
  <c r="F89" i="33"/>
  <c r="E89" i="33"/>
  <c r="D89" i="33"/>
  <c r="H89" i="33"/>
  <c r="E14" i="10" l="1"/>
  <c r="E13" i="10"/>
  <c r="E13" i="25"/>
  <c r="I38" i="24" l="1"/>
  <c r="H38" i="24"/>
  <c r="G38" i="24"/>
  <c r="F38" i="24"/>
  <c r="E38" i="24"/>
  <c r="D38" i="24"/>
  <c r="C38" i="24"/>
  <c r="B38" i="24"/>
  <c r="I16" i="24"/>
  <c r="H16" i="24"/>
  <c r="G16" i="24"/>
  <c r="F16" i="24"/>
  <c r="E16" i="24"/>
  <c r="D16" i="24"/>
  <c r="C16" i="24"/>
  <c r="B16" i="24"/>
  <c r="B36" i="25" l="1"/>
  <c r="C36" i="25"/>
  <c r="E42" i="10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F24" i="11"/>
  <c r="G24" i="11"/>
  <c r="H24" i="11"/>
  <c r="I24" i="11"/>
  <c r="J24" i="11"/>
  <c r="K24" i="11"/>
  <c r="L24" i="11"/>
  <c r="L26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D59" i="3" l="1"/>
  <c r="E59" i="3"/>
  <c r="G76" i="33"/>
  <c r="F76" i="33"/>
  <c r="E76" i="33"/>
  <c r="H75" i="33"/>
  <c r="D76" i="33"/>
  <c r="F55" i="3" l="1"/>
  <c r="F56" i="3"/>
  <c r="B95" i="10" l="1"/>
  <c r="C95" i="10"/>
  <c r="C94" i="10" s="1"/>
  <c r="B26" i="11"/>
  <c r="E6" i="19" l="1"/>
  <c r="E7" i="19"/>
  <c r="E8" i="19"/>
  <c r="E9" i="19"/>
  <c r="E10" i="19"/>
  <c r="E11" i="19"/>
  <c r="E12" i="19"/>
  <c r="E13" i="19"/>
  <c r="E14" i="19"/>
  <c r="E15" i="19"/>
  <c r="E16" i="19"/>
  <c r="H74" i="33"/>
  <c r="I40" i="24" l="1"/>
  <c r="I32" i="24"/>
  <c r="I23" i="24"/>
  <c r="E78" i="25"/>
  <c r="E77" i="25"/>
  <c r="E76" i="25"/>
  <c r="C75" i="25"/>
  <c r="B75" i="25"/>
  <c r="E105" i="10"/>
  <c r="E104" i="10"/>
  <c r="E103" i="10"/>
  <c r="E102" i="10"/>
  <c r="C101" i="10"/>
  <c r="B101" i="10"/>
  <c r="H32" i="24"/>
  <c r="G32" i="24"/>
  <c r="F32" i="24"/>
  <c r="E32" i="24"/>
  <c r="D32" i="24"/>
  <c r="C32" i="24"/>
  <c r="B32" i="24"/>
  <c r="H23" i="24"/>
  <c r="G23" i="24"/>
  <c r="F23" i="24"/>
  <c r="E23" i="24"/>
  <c r="D23" i="24"/>
  <c r="D107" i="10" l="1"/>
  <c r="D103" i="10"/>
  <c r="D106" i="10"/>
  <c r="D102" i="10"/>
  <c r="D104" i="10"/>
  <c r="D105" i="10"/>
  <c r="D77" i="25"/>
  <c r="D80" i="25"/>
  <c r="D76" i="25"/>
  <c r="D79" i="25"/>
  <c r="D78" i="25"/>
  <c r="E75" i="25"/>
  <c r="E101" i="10"/>
  <c r="C23" i="25"/>
  <c r="B23" i="25"/>
  <c r="E14" i="25"/>
  <c r="K26" i="11" l="1"/>
  <c r="J26" i="11"/>
  <c r="I26" i="11"/>
  <c r="H26" i="11"/>
  <c r="G26" i="11"/>
  <c r="F26" i="11"/>
  <c r="E26" i="11"/>
  <c r="D26" i="11"/>
  <c r="M26" i="11"/>
  <c r="N26" i="11" s="1"/>
  <c r="B22" i="35"/>
  <c r="B21" i="35"/>
  <c r="B20" i="35"/>
  <c r="A22" i="35"/>
  <c r="A21" i="35"/>
  <c r="A20" i="35"/>
  <c r="F46" i="35"/>
  <c r="F20" i="35"/>
  <c r="B17" i="35"/>
  <c r="B16" i="35"/>
  <c r="B15" i="35"/>
  <c r="B14" i="35"/>
  <c r="B13" i="35"/>
  <c r="B12" i="35"/>
  <c r="B11" i="35"/>
  <c r="B10" i="35"/>
  <c r="B9" i="35"/>
  <c r="B38" i="35" l="1"/>
  <c r="B42" i="35"/>
  <c r="B35" i="35"/>
  <c r="B39" i="35"/>
  <c r="B43" i="35"/>
  <c r="B36" i="35"/>
  <c r="B40" i="35"/>
  <c r="B37" i="35"/>
  <c r="B41" i="35"/>
  <c r="B7" i="35"/>
  <c r="B24" i="35"/>
  <c r="C12" i="35" s="1"/>
  <c r="H72" i="33"/>
  <c r="C17" i="35" l="1"/>
  <c r="C11" i="35"/>
  <c r="C22" i="35"/>
  <c r="C9" i="35"/>
  <c r="C13" i="35"/>
  <c r="C10" i="35"/>
  <c r="C14" i="35"/>
  <c r="C7" i="35"/>
  <c r="C21" i="35"/>
  <c r="C16" i="35"/>
  <c r="C15" i="35"/>
  <c r="C20" i="35"/>
  <c r="B46" i="35" l="1"/>
  <c r="N24" i="11"/>
  <c r="O19" i="11"/>
  <c r="O12" i="11"/>
  <c r="O16" i="11"/>
  <c r="O20" i="11"/>
  <c r="O9" i="11"/>
  <c r="O13" i="11"/>
  <c r="O17" i="11"/>
  <c r="O21" i="11"/>
  <c r="O10" i="11"/>
  <c r="O14" i="11"/>
  <c r="O18" i="11"/>
  <c r="O11" i="11"/>
  <c r="O15" i="11"/>
  <c r="H73" i="33"/>
  <c r="O26" i="11" l="1"/>
  <c r="C37" i="35"/>
  <c r="C43" i="35"/>
  <c r="C40" i="35"/>
  <c r="C36" i="35"/>
  <c r="C35" i="35"/>
  <c r="C38" i="35"/>
  <c r="C41" i="35"/>
  <c r="C39" i="35"/>
  <c r="C42" i="35"/>
  <c r="P12" i="11"/>
  <c r="P13" i="11" s="1"/>
  <c r="H71" i="33" l="1"/>
  <c r="B62" i="25" l="1"/>
  <c r="C62" i="25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E15" i="25"/>
  <c r="H69" i="33" l="1"/>
  <c r="K8" i="15"/>
  <c r="C92" i="25" l="1"/>
  <c r="C91" i="25" s="1"/>
  <c r="B92" i="25"/>
  <c r="B91" i="25" s="1"/>
  <c r="B97" i="10" s="1"/>
  <c r="C89" i="25"/>
  <c r="C88" i="25" s="1"/>
  <c r="B89" i="25"/>
  <c r="B88" i="25" s="1"/>
  <c r="B94" i="10" s="1"/>
  <c r="C98" i="10"/>
  <c r="C97" i="10" s="1"/>
  <c r="B98" i="10"/>
  <c r="E95" i="10"/>
  <c r="E17" i="10"/>
  <c r="E15" i="10"/>
  <c r="E16" i="10"/>
  <c r="E18" i="10"/>
  <c r="E19" i="10"/>
  <c r="E20" i="10"/>
  <c r="E21" i="10"/>
  <c r="E22" i="10"/>
  <c r="E23" i="10"/>
  <c r="E24" i="10"/>
  <c r="E25" i="10"/>
  <c r="E26" i="10"/>
  <c r="E29" i="10"/>
  <c r="H68" i="33"/>
  <c r="H67" i="33"/>
  <c r="H66" i="33"/>
  <c r="H65" i="33"/>
  <c r="H64" i="33"/>
  <c r="AB40" i="3"/>
  <c r="AB38" i="3"/>
  <c r="AB37" i="3"/>
  <c r="AB36" i="3"/>
  <c r="AB30" i="3"/>
  <c r="AB29" i="3"/>
  <c r="AB28" i="3"/>
  <c r="AB34" i="3"/>
  <c r="AB33" i="3"/>
  <c r="AB32" i="3"/>
  <c r="AB26" i="3"/>
  <c r="AB25" i="3"/>
  <c r="AB24" i="3"/>
  <c r="AB22" i="3"/>
  <c r="AB21" i="3"/>
  <c r="AB20" i="3"/>
  <c r="AB18" i="3"/>
  <c r="AB17" i="3"/>
  <c r="AB16" i="3"/>
  <c r="AB14" i="3"/>
  <c r="AB13" i="3"/>
  <c r="AB12" i="3"/>
  <c r="AB10" i="3"/>
  <c r="AB9" i="3"/>
  <c r="AB8" i="3"/>
  <c r="H76" i="33" l="1"/>
  <c r="E92" i="25"/>
  <c r="E89" i="25"/>
  <c r="E91" i="25"/>
  <c r="E98" i="10"/>
  <c r="E97" i="10"/>
  <c r="E88" i="25" l="1"/>
  <c r="E94" i="10"/>
  <c r="E68" i="25"/>
  <c r="E45" i="10"/>
  <c r="E44" i="10"/>
  <c r="O42" i="3" l="1"/>
  <c r="N42" i="3"/>
  <c r="E77" i="10" l="1"/>
  <c r="E36" i="10"/>
  <c r="E35" i="10"/>
  <c r="E17" i="25"/>
  <c r="E19" i="25"/>
  <c r="I7" i="23"/>
  <c r="I8" i="23"/>
  <c r="E38" i="10" l="1"/>
  <c r="E34" i="10"/>
  <c r="E18" i="25"/>
  <c r="E16" i="25"/>
  <c r="I6" i="2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K34" i="18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2" i="16"/>
  <c r="K33" i="17"/>
  <c r="K34" i="15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C69" i="3"/>
  <c r="B69" i="3"/>
  <c r="Y68" i="3"/>
  <c r="X68" i="3"/>
  <c r="W68" i="3"/>
  <c r="V68" i="3"/>
  <c r="U68" i="3"/>
  <c r="T68" i="3"/>
  <c r="S68" i="3"/>
  <c r="C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C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C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E37" i="10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H40" i="24"/>
  <c r="G40" i="24"/>
  <c r="F40" i="24"/>
  <c r="E40" i="24"/>
  <c r="D40" i="24"/>
  <c r="C40" i="24"/>
  <c r="B40" i="24"/>
  <c r="E43" i="25" l="1"/>
  <c r="W42" i="3" l="1"/>
  <c r="V42" i="3" l="1"/>
  <c r="Y42" i="3" l="1"/>
  <c r="U42" i="3"/>
  <c r="AA42" i="3" l="1"/>
  <c r="Z42" i="3"/>
  <c r="T42" i="3"/>
  <c r="S42" i="3"/>
  <c r="D41" i="19"/>
  <c r="B28" i="10"/>
  <c r="C28" i="10"/>
  <c r="B61" i="10"/>
  <c r="C61" i="10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E33" i="25"/>
  <c r="E19" i="19"/>
  <c r="R42" i="3"/>
  <c r="Q42" i="3"/>
  <c r="P42" i="3"/>
  <c r="E73" i="25"/>
  <c r="E72" i="25"/>
  <c r="E71" i="25"/>
  <c r="E70" i="25"/>
  <c r="E69" i="25"/>
  <c r="E67" i="25"/>
  <c r="E66" i="25"/>
  <c r="E65" i="25"/>
  <c r="E64" i="25"/>
  <c r="E63" i="25"/>
  <c r="D63" i="25"/>
  <c r="E60" i="25"/>
  <c r="E59" i="25"/>
  <c r="E58" i="25"/>
  <c r="E57" i="25"/>
  <c r="E56" i="25"/>
  <c r="E55" i="25"/>
  <c r="E54" i="25"/>
  <c r="E53" i="25"/>
  <c r="E52" i="25"/>
  <c r="E51" i="25"/>
  <c r="E50" i="25"/>
  <c r="C49" i="25"/>
  <c r="D50" i="25" s="1"/>
  <c r="B49" i="25"/>
  <c r="E47" i="25"/>
  <c r="E46" i="25"/>
  <c r="E45" i="25"/>
  <c r="E44" i="25"/>
  <c r="E42" i="25"/>
  <c r="E41" i="25"/>
  <c r="E40" i="25"/>
  <c r="E39" i="25"/>
  <c r="E38" i="25"/>
  <c r="E37" i="25"/>
  <c r="D39" i="25"/>
  <c r="E34" i="25"/>
  <c r="E32" i="25"/>
  <c r="E31" i="25"/>
  <c r="E30" i="25"/>
  <c r="E29" i="25"/>
  <c r="E28" i="25"/>
  <c r="E27" i="25"/>
  <c r="E26" i="25"/>
  <c r="E25" i="25"/>
  <c r="E24" i="25"/>
  <c r="D26" i="25"/>
  <c r="E21" i="25"/>
  <c r="E20" i="25"/>
  <c r="E12" i="25"/>
  <c r="E11" i="25"/>
  <c r="C10" i="25"/>
  <c r="D13" i="25" s="1"/>
  <c r="B10" i="25"/>
  <c r="A41" i="19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32" i="16"/>
  <c r="J33" i="17"/>
  <c r="E31" i="10"/>
  <c r="E32" i="10"/>
  <c r="E33" i="10"/>
  <c r="E39" i="10"/>
  <c r="E40" i="10"/>
  <c r="E30" i="10"/>
  <c r="J34" i="18"/>
  <c r="E74" i="10"/>
  <c r="E75" i="10"/>
  <c r="E76" i="10"/>
  <c r="E11" i="10"/>
  <c r="E12" i="10"/>
  <c r="I34" i="18"/>
  <c r="E81" i="10"/>
  <c r="E82" i="10"/>
  <c r="E83" i="10"/>
  <c r="E84" i="10"/>
  <c r="E85" i="10"/>
  <c r="E86" i="10"/>
  <c r="E87" i="10"/>
  <c r="E88" i="10"/>
  <c r="E89" i="10"/>
  <c r="E64" i="10"/>
  <c r="E63" i="10"/>
  <c r="E67" i="10"/>
  <c r="E65" i="10"/>
  <c r="E66" i="10"/>
  <c r="E68" i="10"/>
  <c r="E69" i="10"/>
  <c r="E70" i="10"/>
  <c r="E71" i="10"/>
  <c r="E73" i="10"/>
  <c r="E72" i="10"/>
  <c r="E50" i="10"/>
  <c r="E49" i="10"/>
  <c r="E51" i="10"/>
  <c r="E52" i="10"/>
  <c r="E56" i="10"/>
  <c r="E55" i="10"/>
  <c r="E53" i="10"/>
  <c r="E54" i="10"/>
  <c r="E57" i="10"/>
  <c r="C32" i="32"/>
  <c r="D32" i="32"/>
  <c r="E32" i="32"/>
  <c r="F32" i="32"/>
  <c r="G32" i="32"/>
  <c r="H32" i="32"/>
  <c r="I32" i="32"/>
  <c r="J32" i="32"/>
  <c r="K32" i="32"/>
  <c r="L32" i="32"/>
  <c r="B32" i="32"/>
  <c r="K42" i="3"/>
  <c r="D66" i="10"/>
  <c r="C34" i="15"/>
  <c r="D34" i="15"/>
  <c r="E34" i="15"/>
  <c r="F34" i="15"/>
  <c r="G34" i="15"/>
  <c r="H34" i="15"/>
  <c r="I34" i="15"/>
  <c r="I33" i="17"/>
  <c r="H33" i="17"/>
  <c r="J42" i="3"/>
  <c r="I42" i="3"/>
  <c r="H42" i="3"/>
  <c r="G42" i="3"/>
  <c r="F42" i="3"/>
  <c r="E80" i="10"/>
  <c r="C79" i="10"/>
  <c r="B79" i="10"/>
  <c r="E62" i="10"/>
  <c r="E48" i="10"/>
  <c r="C47" i="10"/>
  <c r="D55" i="10" s="1"/>
  <c r="B47" i="10"/>
  <c r="C10" i="10"/>
  <c r="D22" i="10" s="1"/>
  <c r="B10" i="10"/>
  <c r="I32" i="16"/>
  <c r="H34" i="18"/>
  <c r="G34" i="18"/>
  <c r="F34" i="18"/>
  <c r="E34" i="18"/>
  <c r="D34" i="18"/>
  <c r="C34" i="18"/>
  <c r="B34" i="18"/>
  <c r="G33" i="17"/>
  <c r="F33" i="17"/>
  <c r="E33" i="17"/>
  <c r="D33" i="17"/>
  <c r="C33" i="17"/>
  <c r="B33" i="17"/>
  <c r="G32" i="16"/>
  <c r="F32" i="16"/>
  <c r="E32" i="16"/>
  <c r="D32" i="16"/>
  <c r="C32" i="16"/>
  <c r="B32" i="16"/>
  <c r="H32" i="16"/>
  <c r="D91" i="33" l="1"/>
  <c r="F91" i="33"/>
  <c r="H37" i="33"/>
  <c r="H50" i="33"/>
  <c r="E91" i="33"/>
  <c r="G91" i="33"/>
  <c r="D71" i="10"/>
  <c r="E61" i="10"/>
  <c r="D77" i="10"/>
  <c r="AB42" i="3"/>
  <c r="D57" i="10"/>
  <c r="D80" i="10"/>
  <c r="D64" i="10"/>
  <c r="D56" i="10"/>
  <c r="D48" i="10"/>
  <c r="E28" i="10"/>
  <c r="D50" i="10"/>
  <c r="D49" i="10"/>
  <c r="D53" i="10"/>
  <c r="E47" i="10"/>
  <c r="D39" i="10"/>
  <c r="D45" i="10"/>
  <c r="D44" i="10"/>
  <c r="H24" i="33"/>
  <c r="D84" i="10"/>
  <c r="D58" i="10"/>
  <c r="D52" i="10"/>
  <c r="D46" i="25"/>
  <c r="D15" i="10"/>
  <c r="D73" i="25"/>
  <c r="D65" i="25"/>
  <c r="D66" i="25"/>
  <c r="D54" i="10"/>
  <c r="D40" i="25"/>
  <c r="D47" i="25"/>
  <c r="D38" i="25"/>
  <c r="D45" i="25"/>
  <c r="D31" i="25"/>
  <c r="H11" i="33"/>
  <c r="H91" i="33" s="1"/>
  <c r="D30" i="10"/>
  <c r="D59" i="10"/>
  <c r="D51" i="10"/>
  <c r="D44" i="25"/>
  <c r="D41" i="25"/>
  <c r="E36" i="25"/>
  <c r="D42" i="25"/>
  <c r="D37" i="25"/>
  <c r="E10" i="25"/>
  <c r="D19" i="25"/>
  <c r="D18" i="25"/>
  <c r="D21" i="25"/>
  <c r="D17" i="25"/>
  <c r="D20" i="25"/>
  <c r="D16" i="25"/>
  <c r="D14" i="25"/>
  <c r="D91" i="10"/>
  <c r="D89" i="10"/>
  <c r="D86" i="10"/>
  <c r="E79" i="10"/>
  <c r="D72" i="25"/>
  <c r="D64" i="25"/>
  <c r="D71" i="25"/>
  <c r="D70" i="25"/>
  <c r="D69" i="25"/>
  <c r="D68" i="25"/>
  <c r="D67" i="25"/>
  <c r="E62" i="25"/>
  <c r="D67" i="10"/>
  <c r="D18" i="10"/>
  <c r="D24" i="10"/>
  <c r="D12" i="25"/>
  <c r="D15" i="25"/>
  <c r="D35" i="10"/>
  <c r="D40" i="10"/>
  <c r="D43" i="10"/>
  <c r="D42" i="10"/>
  <c r="D29" i="10"/>
  <c r="D41" i="10"/>
  <c r="D32" i="10"/>
  <c r="E23" i="25"/>
  <c r="D34" i="25"/>
  <c r="D27" i="25"/>
  <c r="D32" i="25"/>
  <c r="D29" i="25"/>
  <c r="D33" i="25"/>
  <c r="D25" i="25"/>
  <c r="D28" i="25"/>
  <c r="D83" i="10"/>
  <c r="D81" i="10"/>
  <c r="D62" i="10"/>
  <c r="D69" i="10"/>
  <c r="D72" i="10"/>
  <c r="D75" i="10"/>
  <c r="D73" i="10"/>
  <c r="D76" i="10"/>
  <c r="D70" i="10"/>
  <c r="D63" i="10"/>
  <c r="D74" i="10"/>
  <c r="D65" i="10"/>
  <c r="D68" i="10"/>
  <c r="D52" i="25"/>
  <c r="D53" i="25"/>
  <c r="D43" i="25"/>
  <c r="D30" i="25"/>
  <c r="D19" i="10"/>
  <c r="D14" i="10"/>
  <c r="D13" i="10"/>
  <c r="D16" i="10"/>
  <c r="D23" i="10"/>
  <c r="E10" i="10"/>
  <c r="D20" i="10"/>
  <c r="D17" i="10"/>
  <c r="D21" i="10"/>
  <c r="D12" i="10"/>
  <c r="D11" i="25"/>
  <c r="J34" i="15"/>
  <c r="D87" i="10"/>
  <c r="D90" i="10"/>
  <c r="D82" i="10"/>
  <c r="D85" i="10"/>
  <c r="D88" i="10"/>
  <c r="D56" i="25"/>
  <c r="D55" i="25"/>
  <c r="D60" i="25"/>
  <c r="D54" i="25"/>
  <c r="D59" i="25"/>
  <c r="D51" i="25"/>
  <c r="E49" i="25"/>
  <c r="D58" i="25"/>
  <c r="D57" i="25"/>
  <c r="D38" i="10"/>
  <c r="D37" i="10"/>
  <c r="D36" i="10"/>
  <c r="D34" i="10"/>
  <c r="D31" i="10"/>
  <c r="D33" i="10"/>
  <c r="D24" i="25"/>
  <c r="D11" i="10"/>
  <c r="D26" i="10"/>
  <c r="D25" i="10"/>
  <c r="G29" i="10" l="1"/>
</calcChain>
</file>

<file path=xl/sharedStrings.xml><?xml version="1.0" encoding="utf-8"?>
<sst xmlns="http://schemas.openxmlformats.org/spreadsheetml/2006/main" count="1821" uniqueCount="745">
  <si>
    <t>Año</t>
  </si>
  <si>
    <t xml:space="preserve">PBI   </t>
  </si>
  <si>
    <t>PBI Minero</t>
  </si>
  <si>
    <t>Inflación</t>
  </si>
  <si>
    <t xml:space="preserve">Exportaciones      </t>
  </si>
  <si>
    <t xml:space="preserve">Importaciones </t>
  </si>
  <si>
    <t>Bal. Comercial</t>
  </si>
  <si>
    <t>Fuente: Ministerio de Energía y Minas</t>
  </si>
  <si>
    <t>VOLUMEN DE LA PRODUCCIÓN MINERO METÁLICA, POR PRINCIPALES METALES</t>
  </si>
  <si>
    <t>Cobre</t>
  </si>
  <si>
    <t>Valor</t>
  </si>
  <si>
    <t>(US$MM)</t>
  </si>
  <si>
    <t>Cantidad</t>
  </si>
  <si>
    <t>(Miles Tm)</t>
  </si>
  <si>
    <t>Precio*</t>
  </si>
  <si>
    <t xml:space="preserve"> (Ctvs US$/Lb.)</t>
  </si>
  <si>
    <t>Oro</t>
  </si>
  <si>
    <t>(Miles Oz. Tr.)</t>
  </si>
  <si>
    <t>(US$/Oz Tr.)</t>
  </si>
  <si>
    <t>Zinc</t>
  </si>
  <si>
    <t>(Miles Tm.)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</si>
  <si>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</si>
  <si>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</si>
  <si>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</si>
  <si>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</si>
  <si>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</si>
  <si>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</si>
  <si>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</si>
  <si>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</si>
  <si>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</si>
  <si>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</si>
  <si>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</si>
  <si>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</si>
  <si>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</si>
  <si>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</si>
  <si>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</si>
  <si>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COMPAÑIA MINERA ARES S.A.C.</t>
  </si>
  <si>
    <t>MINERA YANACOCHA S.R.L.</t>
  </si>
  <si>
    <t>Var%</t>
  </si>
  <si>
    <t>COMPAÑIA MINERA ANTAMINA S.A.</t>
  </si>
  <si>
    <t>SOUTHERN PERU COPPER CORPORATION SUCURSAL DEL PERU</t>
  </si>
  <si>
    <t>COMPAÑIA MINERA ANTAPACCAY S.A.</t>
  </si>
  <si>
    <t>GOLD FIELDS LA CIMA S.A.</t>
  </si>
  <si>
    <t>OTROS</t>
  </si>
  <si>
    <t>VOLUMEN DE LA PRODUCCIÓN MINERO METÁLICA, EMPRESAS</t>
  </si>
  <si>
    <t>MINERA BARRICK MISQUICHILCA S.A.</t>
  </si>
  <si>
    <t>MADRE DE DIOS</t>
  </si>
  <si>
    <t>CONSORCIO MINERO HORIZONTE S.A.</t>
  </si>
  <si>
    <t>LA ARENA S.A.</t>
  </si>
  <si>
    <t>MINERA AURIFERA RETAMAS S.A.</t>
  </si>
  <si>
    <t>COBRE / TMF</t>
  </si>
  <si>
    <t>VOLCAN COMPAÑÍA MINERA S.A.A.</t>
  </si>
  <si>
    <t>SOCIEDAD MINERA CORONA S.A.</t>
  </si>
  <si>
    <t>CATALINA HUANCA SOCIEDAD MINERA S.A.C.</t>
  </si>
  <si>
    <t>PLOMO / TMF</t>
  </si>
  <si>
    <t>ZINC / TMF</t>
  </si>
  <si>
    <t>VOLUMEN DE LA PRODUCCIÓN MINERO METÁLICA, REGIONES</t>
  </si>
  <si>
    <t>ANCASH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</si>
  <si>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</si>
  <si>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</si>
  <si>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</si>
  <si>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</si>
  <si>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</si>
  <si>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</si>
  <si>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</si>
  <si>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</si>
  <si>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JUNIN</t>
  </si>
  <si>
    <t>HUANCAVELICA</t>
  </si>
  <si>
    <t>PUNO</t>
  </si>
  <si>
    <t>HUANUCO</t>
  </si>
  <si>
    <t>LA LIBERTAD</t>
  </si>
  <si>
    <t>AYACUCHO</t>
  </si>
  <si>
    <t>Part%</t>
  </si>
  <si>
    <t>PRODUCTO / REGION</t>
  </si>
  <si>
    <t>PRODUCTO / EMPRESA</t>
  </si>
  <si>
    <t>TOTAL EXPORTACIONES</t>
  </si>
  <si>
    <t>RUBRO</t>
  </si>
  <si>
    <t>CHINA</t>
  </si>
  <si>
    <t>JAPON</t>
  </si>
  <si>
    <t>ALEMANIA</t>
  </si>
  <si>
    <t>ITALIA</t>
  </si>
  <si>
    <t>BRASIL</t>
  </si>
  <si>
    <t>ESPAÑA</t>
  </si>
  <si>
    <t>Acum. Anual US$ Millones</t>
  </si>
  <si>
    <t>COMPAÑIA MINERA RAURA S.A.</t>
  </si>
  <si>
    <t>-</t>
  </si>
  <si>
    <t>(En nuevos soles)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</si>
  <si>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</si>
  <si>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</si>
  <si>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</si>
  <si>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</si>
  <si>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</si>
  <si>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</si>
  <si>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</si>
  <si>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</si>
  <si>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</si>
  <si>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</si>
  <si>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</si>
  <si>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</si>
  <si>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</si>
  <si>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</si>
  <si>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</si>
  <si>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</si>
  <si>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</si>
  <si>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</si>
  <si>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</si>
  <si>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</si>
  <si>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</si>
  <si>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</si>
  <si>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</si>
  <si>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</si>
  <si>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</si>
  <si>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</si>
  <si>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TOTAL</t>
  </si>
  <si>
    <t>Fuente: Transparencia Económica del M.E.F. - INGEMMET. Elaboración MINEM.</t>
  </si>
  <si>
    <t>La distribución del Canon Minero, por parte del MEF, se realiza en Julio de cada año  y es de periodicidad anual. Esta constituido por el 50% del Impuesto a la Renta correspondiente al año anterior. El monto corresponde al aporte asignado (monto acreditado), según los índices que se aprueba anualmente.</t>
  </si>
  <si>
    <t>La distribución de las Regalías Mineras es de periodicidad trimestral, el monto corresponde a la asignación (monto acreditado) más los intereses acumulados, según los índices que se aprueba mensualmente</t>
  </si>
  <si>
    <t xml:space="preserve">2010 </t>
  </si>
  <si>
    <t>2011</t>
  </si>
  <si>
    <t>2012</t>
  </si>
  <si>
    <t>2013</t>
  </si>
  <si>
    <t>Este cambio de cálculo es producto de la nueva normatividad Ley Nª 29788 – Ley que Modifica la Ley de Regalía Minera</t>
  </si>
  <si>
    <t>TRANSFERENCIAS A LAS REGIONES POR CANON MINERO</t>
  </si>
  <si>
    <t>TRANSFERENCIAS A LAS REGIONES POR REGALIAS MINERAS</t>
  </si>
  <si>
    <t>TRANSFERENCIAS A LAS REGIONES POR DERECHO DE VIGENCIA Y PENALIDAD</t>
  </si>
  <si>
    <t>TIPO DE ÁREAS RESTRINGIDAS</t>
  </si>
  <si>
    <t>CANTIDAD</t>
  </si>
  <si>
    <t>HAS.</t>
  </si>
  <si>
    <t>% DEL PERÚ</t>
  </si>
  <si>
    <t>1</t>
  </si>
  <si>
    <t>3</t>
  </si>
  <si>
    <t>4</t>
  </si>
  <si>
    <t>PROYECTO ESPECIAL</t>
  </si>
  <si>
    <t>5</t>
  </si>
  <si>
    <t>6</t>
  </si>
  <si>
    <t>7</t>
  </si>
  <si>
    <t>8</t>
  </si>
  <si>
    <t>9</t>
  </si>
  <si>
    <t>10</t>
  </si>
  <si>
    <t>PUERTOS Y AEROPUERTOS</t>
  </si>
  <si>
    <r>
      <t xml:space="preserve">REGALÍAS MINERAS / </t>
    </r>
    <r>
      <rPr>
        <b/>
        <i/>
        <sz val="9"/>
        <color theme="0" tint="-0.499984740745262"/>
        <rFont val="Calibri"/>
        <family val="2"/>
        <scheme val="minor"/>
      </rPr>
      <t>MINING ROYALTIES</t>
    </r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</si>
  <si>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PENALTY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</si>
  <si>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 xml:space="preserve">MINING CANON 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</si>
  <si>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>MINING CANON</t>
    </r>
  </si>
  <si>
    <t>SUIZA</t>
  </si>
  <si>
    <t>CANADA</t>
  </si>
  <si>
    <t>REINO UNIDO</t>
  </si>
  <si>
    <t>CHILE</t>
  </si>
  <si>
    <t>COLOMBIA</t>
  </si>
  <si>
    <t>TRANSFERENCIAS A LAS REGIONES POR RECURSOS GENERADOS POR LA MINERÍA (CANON, REGALIAS Y DERECHO DE VIGENCIA)</t>
  </si>
  <si>
    <t xml:space="preserve">PRINCIPALES INDICADORES MACROECONÓMICOS </t>
  </si>
  <si>
    <t xml:space="preserve">EXPORTACIONES MINERAS POR PRINCIPALES PRODUCTOS </t>
  </si>
  <si>
    <t xml:space="preserve">ESTRUCTURA DE LAS EXPORTACIONES PERUANAS </t>
  </si>
  <si>
    <t>Source: Transparencia Económica del M.E.F. - INGEMMET. Elaborated by MINEM.</t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</si>
  <si>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PENALTIES</t>
    </r>
  </si>
  <si>
    <t xml:space="preserve">ITEM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</si>
  <si>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</si>
  <si>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</si>
  <si>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Base legal : artículo 57 , literal a) Texto Unico Ordenado de la Ley General de Minería , modificado por Ley N°29169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</si>
  <si>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</si>
  <si>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</si>
  <si>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</si>
  <si>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</si>
  <si>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</si>
  <si>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</si>
  <si>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</si>
  <si>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</si>
  <si>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</si>
  <si>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</si>
  <si>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</si>
  <si>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</si>
  <si>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</si>
  <si>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</si>
  <si>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</si>
  <si>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</si>
  <si>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</si>
  <si>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</si>
  <si>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</si>
  <si>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</si>
  <si>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</si>
  <si>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</si>
  <si>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</si>
  <si>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</si>
  <si>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</si>
  <si>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</si>
  <si>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</si>
  <si>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</si>
  <si>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</si>
  <si>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</si>
  <si>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</si>
  <si>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</si>
  <si>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</si>
  <si>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</si>
  <si>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</si>
  <si>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</si>
  <si>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</si>
  <si>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</si>
  <si>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</si>
  <si>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</si>
  <si>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</si>
  <si>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</si>
  <si>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</si>
  <si>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</si>
  <si>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</si>
  <si>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</si>
  <si>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</si>
  <si>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</si>
  <si>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</si>
  <si>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</si>
  <si>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</si>
  <si>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</si>
  <si>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</si>
  <si>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HUDBAY PERU S.A.C.</t>
  </si>
  <si>
    <t>EVOLUCION ANUAL</t>
  </si>
  <si>
    <t xml:space="preserve">Ene </t>
  </si>
  <si>
    <t>MILPO ANDINA PERU S.A.C.</t>
  </si>
  <si>
    <t>ENE</t>
  </si>
  <si>
    <t>PLATA / onzas</t>
  </si>
  <si>
    <t>APURIMAC</t>
  </si>
  <si>
    <t>FEB</t>
  </si>
  <si>
    <t>Var(%)</t>
  </si>
  <si>
    <t>Abr</t>
  </si>
  <si>
    <t xml:space="preserve">Tabla 02.1 </t>
  </si>
  <si>
    <t xml:space="preserve">Hierro </t>
  </si>
  <si>
    <t>TMF</t>
  </si>
  <si>
    <t>Tabla 02.2</t>
  </si>
  <si>
    <t xml:space="preserve">Tabla 02.3 </t>
  </si>
  <si>
    <t>EXPORTACIONES</t>
  </si>
  <si>
    <t>UNIDAD</t>
  </si>
  <si>
    <t>Tabla 03</t>
  </si>
  <si>
    <t>MAR</t>
  </si>
  <si>
    <t xml:space="preserve">Tabla 03.2 </t>
  </si>
  <si>
    <t xml:space="preserve">Tabla 07 </t>
  </si>
  <si>
    <t>Tabla 07.1</t>
  </si>
  <si>
    <t>REGIONES</t>
  </si>
  <si>
    <t xml:space="preserve">Tabla 07.3 </t>
  </si>
  <si>
    <t xml:space="preserve">Tabla 07.2 </t>
  </si>
  <si>
    <t>Tabla 09</t>
  </si>
  <si>
    <t>UNIDADES</t>
  </si>
  <si>
    <t>SITUACIÓN</t>
  </si>
  <si>
    <t>Ha</t>
  </si>
  <si>
    <t>EXPLOTACIÓN</t>
  </si>
  <si>
    <t>EXPLORACIÓN</t>
  </si>
  <si>
    <t>CONSTRUCCIÓN</t>
  </si>
  <si>
    <t>CATEO Y PROSPECCIÓN</t>
  </si>
  <si>
    <t>CIERRE POST-CIERRE(DEFINITIVO)</t>
  </si>
  <si>
    <t>CIERRE FINAL</t>
  </si>
  <si>
    <t>UNIDADES MINERAS EN ACTIVIDAD</t>
  </si>
  <si>
    <t>Nota:  Territorio Nacional  = 128,521,560 ha.</t>
  </si>
  <si>
    <t>COMPAÑÍA MINERA MILPO S.A.A.</t>
  </si>
  <si>
    <t>COMPAÑÍA DE MINAS BUENAVENTURA S.A.A.</t>
  </si>
  <si>
    <t>ABR</t>
  </si>
  <si>
    <t>MAY</t>
  </si>
  <si>
    <t>Ingresos del Gobierno Central (Millones de Nuevos Soles)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</si>
  <si>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</si>
  <si>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</si>
  <si>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</si>
  <si>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</si>
  <si>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</si>
  <si>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</si>
  <si>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</si>
  <si>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</si>
  <si>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</si>
  <si>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</si>
  <si>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</si>
  <si>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</si>
  <si>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</si>
  <si>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</si>
  <si>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</si>
  <si>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</si>
  <si>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</si>
  <si>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</si>
  <si>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</si>
  <si>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</si>
  <si>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</si>
  <si>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</si>
  <si>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</si>
  <si>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</si>
  <si>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</si>
  <si>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</si>
  <si>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La distribución por concepto de Derecho de Vigencia y Penalidad, es de periodicidad mensual y efectivamente pagado en el año. Cifras al 31 Jul 2015.</t>
  </si>
  <si>
    <t xml:space="preserve">La distribución por concepto de Derecho de Vigencia y Penalidad, es de periodicidad mensual y efectivamente pagado en el año. </t>
  </si>
  <si>
    <t>La distribución por concepto de Derecho de Vigencia y Penalidad, es de periodicidad mensual y efectivamente pagado en el año.</t>
  </si>
  <si>
    <t>Set.</t>
  </si>
  <si>
    <t>AGO</t>
  </si>
  <si>
    <t>SET</t>
  </si>
  <si>
    <t>BENEFICIO</t>
  </si>
  <si>
    <t>OCT</t>
  </si>
  <si>
    <t>Fuente: INGEMMET. Elaboración MEM.</t>
  </si>
  <si>
    <t>ALMACENAMIENTO</t>
  </si>
  <si>
    <t>Tabla 9.1:</t>
  </si>
  <si>
    <t>CANTIDAD DE SOLICITUDES DE PETITORIOS MINEROS A NIVEL NACIONAL</t>
  </si>
  <si>
    <t>NOV</t>
  </si>
  <si>
    <t>DIC</t>
  </si>
  <si>
    <t>Tabla 9.2:</t>
  </si>
  <si>
    <t>CANTIDAD DE TITULOS OTORGADOS POR INGEMMET</t>
  </si>
  <si>
    <t>Tabla 9.3:</t>
  </si>
  <si>
    <t>Tipo Cambio *</t>
  </si>
  <si>
    <t>Variación respecto al mes anterior</t>
  </si>
  <si>
    <t>Mes</t>
  </si>
  <si>
    <t>MINERA LAS BAMBAS S.A.</t>
  </si>
  <si>
    <t>COMPAÑIA MINERA ATACOCHA S.A.A.</t>
  </si>
  <si>
    <t>g finos</t>
  </si>
  <si>
    <t>kg finos</t>
  </si>
  <si>
    <t>ORO / g finos</t>
  </si>
  <si>
    <t>PLATA / KG FINOS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</si>
  <si>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</si>
  <si>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</si>
  <si>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</si>
  <si>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</si>
  <si>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</si>
  <si>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</si>
  <si>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</si>
  <si>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</si>
  <si>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</si>
  <si>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</si>
  <si>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US$/Oz.tr.</t>
  </si>
  <si>
    <t>US$/tm</t>
  </si>
  <si>
    <t>US$/lb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</si>
  <si>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</si>
  <si>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</si>
  <si>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</si>
  <si>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</si>
  <si>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 xml:space="preserve">Export. Met.  </t>
  </si>
  <si>
    <t>Minerales no metálicos</t>
  </si>
  <si>
    <t>Sidero-metalúrgicos y joyería</t>
  </si>
  <si>
    <t>Metal-mecánicos</t>
  </si>
  <si>
    <t>Petróleo y gas natural</t>
  </si>
  <si>
    <t>Agrícolas</t>
  </si>
  <si>
    <t>Agropecuarios</t>
  </si>
  <si>
    <t>Textiles</t>
  </si>
  <si>
    <t>Maderas y papeles</t>
  </si>
  <si>
    <t>COMPAÑIA MINERA PODEROSA S.A.</t>
  </si>
  <si>
    <t>* Promedio del Cambio Interbancario</t>
  </si>
  <si>
    <t>11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</si>
  <si>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</si>
  <si>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</si>
  <si>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</si>
  <si>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</si>
  <si>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</si>
  <si>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PROPUESTA DE AREA NATURAL</t>
  </si>
  <si>
    <t>POSIBLE AREA URBANA</t>
  </si>
  <si>
    <t xml:space="preserve">ZONA URBANA </t>
  </si>
  <si>
    <t>Nd:  No Disponible a la fecha</t>
  </si>
  <si>
    <t>Millones US$</t>
  </si>
  <si>
    <t>(Soles por U.S. dólar)</t>
  </si>
  <si>
    <t xml:space="preserve">Var. % mensual </t>
  </si>
  <si>
    <t>(Var % anualizadas)</t>
  </si>
  <si>
    <t>Fuente: Banco Central de Reserva del Perú / Elaborado por MINEM.</t>
  </si>
  <si>
    <t>Químicos</t>
  </si>
  <si>
    <t>Pesqueros (Export. No Trad.)</t>
  </si>
  <si>
    <t>Pesqueros (Export. Trad.)</t>
  </si>
  <si>
    <t>HIERRO / TMF</t>
  </si>
  <si>
    <t>ESTAÑO / TMF</t>
  </si>
  <si>
    <t>SHOUGANG HIERRO PERU S.A.A.</t>
  </si>
  <si>
    <t>MINSUR S.A.</t>
  </si>
  <si>
    <t>Información Preliminar</t>
  </si>
  <si>
    <t>PIURA</t>
  </si>
  <si>
    <t>COMPAÑIA MINERA CHUNGAR S.A.C.</t>
  </si>
  <si>
    <t>Set</t>
  </si>
  <si>
    <t>Mineros Metálicos</t>
  </si>
  <si>
    <t>PRINCIPALES PRODUCTOS METÁLICOS (Millones de US$ Part %)</t>
  </si>
  <si>
    <t>Tabla 03.3</t>
  </si>
  <si>
    <t>Tabla 03.4</t>
  </si>
  <si>
    <t>Productos Metálicos</t>
  </si>
  <si>
    <t>MOLIBDENO / TMF</t>
  </si>
  <si>
    <t>TOTAL EXPORTACIONES MINERAS</t>
  </si>
  <si>
    <t xml:space="preserve">Abr. </t>
  </si>
  <si>
    <t>LME</t>
  </si>
  <si>
    <t>LMB</t>
  </si>
  <si>
    <t>London Fix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</si>
  <si>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</si>
  <si>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</si>
  <si>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</si>
  <si>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</si>
  <si>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</si>
  <si>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</si>
  <si>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</si>
  <si>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</si>
  <si>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</si>
  <si>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</si>
  <si>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</si>
  <si>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</si>
  <si>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</si>
  <si>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</si>
  <si>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</si>
  <si>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</si>
  <si>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TSI</t>
  </si>
  <si>
    <t>US Market</t>
  </si>
  <si>
    <t>RECAUDACION POR RÉGIMEN TRIBUTARIO DE LA MINERÍA</t>
  </si>
  <si>
    <t>TITULOS OTORGADAS POR INGEMMET (HECTAREAS)</t>
  </si>
  <si>
    <t>TOTAL EXPORTACIONES NACIONALES</t>
  </si>
  <si>
    <t>COMPAÑIA MINERA SAN IGNACIO DE MOROCOCHA S.A.A.</t>
  </si>
  <si>
    <t>nd</t>
  </si>
  <si>
    <t>Feb</t>
  </si>
  <si>
    <t>1995 - 2017: COTIZACIÓN DE PRINCIPALES PRODUCTOS MINEROS (A)   - PROMEDIO ANUAL</t>
  </si>
  <si>
    <t>MINERA LA ZANJA S.R.L.</t>
  </si>
  <si>
    <t>MINERA BATEAS S.A.C.</t>
  </si>
  <si>
    <t>COMPAÑIA MINERA CASAPALCA S.A.</t>
  </si>
  <si>
    <t>Mar</t>
  </si>
  <si>
    <t>Nd / Disponible 20 de Junio - BCRP</t>
  </si>
  <si>
    <t>Nd / Disponible 06 de Junio - BCRP</t>
  </si>
  <si>
    <t>Variación Interanual / Abril</t>
  </si>
  <si>
    <t>Variación Acumulada / Enero - Abril</t>
  </si>
  <si>
    <t>ACUM ENERO-ABRIL</t>
  </si>
  <si>
    <t>Acum. Ene-Mar</t>
  </si>
  <si>
    <t>ene-mar</t>
  </si>
  <si>
    <t>*Tipo de cambio : 1$=3.260 soles</t>
  </si>
  <si>
    <t>AREAS DE NO ADMISION DE PETITORIOS - OTRAS</t>
  </si>
  <si>
    <t>AREAS DE NO ADMISION DE PETITORIOS - INGEMMET</t>
  </si>
  <si>
    <t>ÁREAS RESTRINGIDAS A LA MINERÍA / ABRIL 2017</t>
  </si>
  <si>
    <t>ACTIVIDAD MINERA - ABRIL 2017</t>
  </si>
  <si>
    <t>CONSOLIDADO DE INVERSIONES SEGÚN RUBRO(*)</t>
  </si>
  <si>
    <t>EN US$</t>
  </si>
  <si>
    <t>Cant Ejecutada</t>
  </si>
  <si>
    <t>Tipo Inversion</t>
  </si>
  <si>
    <t>2008</t>
  </si>
  <si>
    <t>2009</t>
  </si>
  <si>
    <t>2016</t>
  </si>
  <si>
    <t>Total general</t>
  </si>
  <si>
    <t>EQUIPAMIENTO DE PLANTA DE BENEFICIO</t>
  </si>
  <si>
    <t>EQUIPAMIENTO MINERO</t>
  </si>
  <si>
    <t>INFRAESTRUCTURA</t>
  </si>
  <si>
    <t>PREPARACIÓN</t>
  </si>
  <si>
    <t>AÑOS/RUBROS</t>
  </si>
  <si>
    <t>EQ. DE PTA DE BENEFICIO</t>
  </si>
  <si>
    <t>2015(p)</t>
  </si>
  <si>
    <t>2016(p)</t>
  </si>
  <si>
    <t>2017(p)</t>
  </si>
  <si>
    <t>Enero</t>
  </si>
  <si>
    <t>Febrero</t>
  </si>
  <si>
    <t>Marzo</t>
  </si>
  <si>
    <t>Abril</t>
  </si>
  <si>
    <t>A Abril 2017</t>
  </si>
  <si>
    <t>A Abril 2016</t>
  </si>
  <si>
    <t>Var %</t>
  </si>
  <si>
    <t>Notas Importantes</t>
  </si>
  <si>
    <t>Las cifras reportadas pertenecen a la Declaración Estadística Mensual (R.D. 091-2009-MEM/DGM)</t>
  </si>
  <si>
    <t>(p)Los datos reportados 2015, 2016 y 2017 son preliminares</t>
  </si>
  <si>
    <r>
      <rPr>
        <u/>
        <sz val="11"/>
        <rFont val="Arial"/>
        <family val="2"/>
      </rPr>
      <t>Fuente</t>
    </r>
    <r>
      <rPr>
        <sz val="11"/>
        <rFont val="Arial"/>
        <family val="2"/>
      </rPr>
      <t xml:space="preserve">: Declaracion Estadistica Mensual ESTAMIN - información declarada por los Titulares Mineros </t>
    </r>
  </si>
  <si>
    <t>Datos extraidos del  DATAMART de Minería el 29/05/2017</t>
  </si>
  <si>
    <t>Elaborado por la Dirección de Promoción Minera</t>
  </si>
  <si>
    <t>D.G.H.H.</t>
  </si>
  <si>
    <t>AñoMes</t>
  </si>
  <si>
    <t>2015-01</t>
  </si>
  <si>
    <t>2015-02</t>
  </si>
  <si>
    <t>2015-03</t>
  </si>
  <si>
    <t>2015-04</t>
  </si>
  <si>
    <t>2016-01</t>
  </si>
  <si>
    <t>2016-02</t>
  </si>
  <si>
    <t>2016-03</t>
  </si>
  <si>
    <t>2016-04</t>
  </si>
  <si>
    <t>2017-01</t>
  </si>
  <si>
    <t>2017-02</t>
  </si>
  <si>
    <t>2017-03</t>
  </si>
  <si>
    <t>2017-04</t>
  </si>
  <si>
    <t>ACUMULADO A ABRIL 2017</t>
  </si>
  <si>
    <t>EQ. DE PLANTA DE BENEFICIO</t>
  </si>
  <si>
    <t>EQ. MINERO</t>
  </si>
  <si>
    <t>MILLONES DE US$</t>
  </si>
  <si>
    <t xml:space="preserve">RANKING DE LAS PRINCIPALES EMPRESAS MINERAS INVERSIONISTAS EN EL PERÚ -  </t>
  </si>
  <si>
    <t>COMPARADO AL MES DE ABRIL</t>
  </si>
  <si>
    <t>Inversión a Abril</t>
  </si>
  <si>
    <t>RANKING</t>
  </si>
  <si>
    <t>TITULAR MINERO</t>
  </si>
  <si>
    <t>2017</t>
  </si>
  <si>
    <t>Variaciòn     %</t>
  </si>
  <si>
    <t xml:space="preserve">1° 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</si>
  <si>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</si>
  <si>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</si>
  <si>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</si>
  <si>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</si>
  <si>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</si>
  <si>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</si>
  <si>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</si>
  <si>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</si>
  <si>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</si>
  <si>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</si>
  <si>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SHAHUINDO S.A.C.</t>
  </si>
  <si>
    <t>12°</t>
  </si>
  <si>
    <t>ANGLO AMERICAN QUELLAVECO S.A.</t>
  </si>
  <si>
    <t>13°</t>
  </si>
  <si>
    <t>14°</t>
  </si>
  <si>
    <t>15°</t>
  </si>
  <si>
    <t>16°</t>
  </si>
  <si>
    <t>ANABI S.A.C.</t>
  </si>
  <si>
    <t>17°</t>
  </si>
  <si>
    <t>18°</t>
  </si>
  <si>
    <t>19°</t>
  </si>
  <si>
    <t>20°</t>
  </si>
  <si>
    <t>21°</t>
  </si>
  <si>
    <t>MARCOBRE S.A.C.</t>
  </si>
  <si>
    <t>22°</t>
  </si>
  <si>
    <t>COMPAÑIA MINERA SANTA LUISA S.A.</t>
  </si>
  <si>
    <t>23°</t>
  </si>
  <si>
    <t>TREVALI PERU S.A.C.</t>
  </si>
  <si>
    <t>24°</t>
  </si>
  <si>
    <t>25°</t>
  </si>
  <si>
    <t>26°</t>
  </si>
  <si>
    <t>27°</t>
  </si>
  <si>
    <t>28°</t>
  </si>
  <si>
    <t>COMPAÑIA MINERA KOLPA S.A.</t>
  </si>
  <si>
    <t>29°</t>
  </si>
  <si>
    <t>30°</t>
  </si>
  <si>
    <t>31°</t>
  </si>
  <si>
    <t>TITAN CONTRATISTAS GENERALES S.A.C.</t>
  </si>
  <si>
    <t>32°</t>
  </si>
  <si>
    <t>MINERA IRL S.A.</t>
  </si>
  <si>
    <t>33°</t>
  </si>
  <si>
    <t>CONSORCIO DE INGENIEROS EJECUTORES MINEROS S.A.</t>
  </si>
  <si>
    <t>34°</t>
  </si>
  <si>
    <t>UNION ANDINA DE CEMENTOS S.A.A.</t>
  </si>
  <si>
    <t>35°</t>
  </si>
  <si>
    <t>PAN AMERICAN SILVER HUARON S.A.</t>
  </si>
  <si>
    <t>36°</t>
  </si>
  <si>
    <t>37°</t>
  </si>
  <si>
    <t>MINERA AURIFERA CUATRO DE ENERO S.A.</t>
  </si>
  <si>
    <t>38°</t>
  </si>
  <si>
    <t>COMPAÑIA MINERA CONDESTABLE S.A.</t>
  </si>
  <si>
    <t>39°</t>
  </si>
  <si>
    <t>EMPRESA MINERA LOS QUENUALES S.A.</t>
  </si>
  <si>
    <t>40°</t>
  </si>
  <si>
    <t>41°</t>
  </si>
  <si>
    <t>COMPAÑIA MINERA CARAVELI S.A.C.</t>
  </si>
  <si>
    <t>42°</t>
  </si>
  <si>
    <t>COMPAÑIA MINERA ARGENTUM S.A.</t>
  </si>
  <si>
    <t>43°</t>
  </si>
  <si>
    <t>COMPAÑIA MINERA MISKI MAYO S.R.L.</t>
  </si>
  <si>
    <t>44°</t>
  </si>
  <si>
    <t>CORI PUNO S.A.C.</t>
  </si>
  <si>
    <t>45°</t>
  </si>
  <si>
    <t>COMPAÑIA MINERA ZAFRANAL S.A.C.</t>
  </si>
  <si>
    <t>46°</t>
  </si>
  <si>
    <t>CORPORACION MINERA CENTAURO S.A.C.</t>
  </si>
  <si>
    <t>47°</t>
  </si>
  <si>
    <t>48°</t>
  </si>
  <si>
    <t>MINERA SHUNTUR S.A.C.</t>
  </si>
  <si>
    <t>49°</t>
  </si>
  <si>
    <t>ANDALUCITA S.A.</t>
  </si>
  <si>
    <t>50°</t>
  </si>
  <si>
    <t>OBRAS CIVILES Y MINERAS S.A.C.</t>
  </si>
  <si>
    <t>Otras ( 2016=  433 Empresas; 2017=   422 Empresas)</t>
  </si>
  <si>
    <t>RANKING DE LAS PRINCIPALES EMPRESAS MINERAS INVERSIONISTAS SEGÚN RUBRO EN EL PERÚ - AL MES DE ABRIL</t>
  </si>
  <si>
    <t>(En US $)</t>
  </si>
  <si>
    <t>Titular Min|ero</t>
  </si>
  <si>
    <t>Acumulado al mes de Abril</t>
  </si>
  <si>
    <t>Titular Minero</t>
  </si>
  <si>
    <t>Var. %</t>
  </si>
  <si>
    <t>VAR.%</t>
  </si>
  <si>
    <t>Otras ( 2016= 71 Empresas; 2017=  71 Empresa)</t>
  </si>
  <si>
    <t>Otras ( 2016= 156 Empresas; 2017=  143 Empresas)</t>
  </si>
  <si>
    <t>EXPLORACION</t>
  </si>
  <si>
    <t>EXPLOTACION</t>
  </si>
  <si>
    <t>Otras ( 2016= 244 Empresas; 2017=  214  Empresas)</t>
  </si>
  <si>
    <t>Otras ( 2016= 203 Empresas; 2017=  214 Empresas)</t>
  </si>
  <si>
    <t>Otras ( 2016= 165  Empresas; 2017= 150 Empresas)</t>
  </si>
  <si>
    <t>Otras ( 2016= 236 Empresas; 2017=  246 Empresas)</t>
  </si>
  <si>
    <t>PREPARACION</t>
  </si>
  <si>
    <t>ACUMULADO EN EL MES DE ABRIL</t>
  </si>
  <si>
    <t>Otras ( 2016= 140 Empresas; 2017=  116 Empresas)</t>
  </si>
  <si>
    <t>D.G.H.H</t>
  </si>
  <si>
    <t>INVERSIONES MINERAS SEGÚN REGION (*)</t>
  </si>
  <si>
    <t>DEPARTAMENTO</t>
  </si>
  <si>
    <t>Etiquetas de fila</t>
  </si>
  <si>
    <t>Suma de 2016</t>
  </si>
  <si>
    <t>Suma de 2017</t>
  </si>
  <si>
    <t>INVERSION MINERA AL MES DE ABRIL</t>
  </si>
  <si>
    <t>AMAZONAS</t>
  </si>
  <si>
    <t>(en miles de US $)</t>
  </si>
  <si>
    <t>%</t>
  </si>
  <si>
    <t>CALLAO</t>
  </si>
  <si>
    <t>LAMBAYEQUE</t>
  </si>
  <si>
    <t>LORETO</t>
  </si>
  <si>
    <t>SAN MARTIN</t>
  </si>
  <si>
    <t>TUMBES</t>
  </si>
  <si>
    <t xml:space="preserve">Total </t>
  </si>
  <si>
    <t>Fuente : Declaraciones Juradas hechas por los titulares mineros (ESTAMIN)</t>
  </si>
  <si>
    <t>EVOLUCIÓN DE LAS INVERSIONES REALIZADAS POR LOS TITULARES MINEROS   AL MES DE ABRIL AÑOS 2007-2017</t>
  </si>
  <si>
    <t>Unidad Minera</t>
  </si>
  <si>
    <t>INTERNACIONAL</t>
  </si>
  <si>
    <t>COMPANY SILVER GOLD S.A.</t>
  </si>
  <si>
    <t>PURISIMA</t>
  </si>
  <si>
    <t>COMPARATIVO DE INVERSIONES REALIZADAS  POR LOS TITULARES MINEROS  AL MES DE ABRIL</t>
  </si>
  <si>
    <t>Total COMPANY SILVER GOLD S.A.</t>
  </si>
  <si>
    <t>MINERA PEÑOLES DE PERU S.A.</t>
  </si>
  <si>
    <t>SAN PEDRO</t>
  </si>
  <si>
    <t>Total MINERA PEÑOLES DE PERU S.A.</t>
  </si>
  <si>
    <t>Inversión realizada en \ año</t>
  </si>
  <si>
    <t>2014(p)</t>
  </si>
  <si>
    <t>PANORO APURIMAC S.A.</t>
  </si>
  <si>
    <t>PANAPU 1</t>
  </si>
  <si>
    <t>Millones de US $</t>
  </si>
  <si>
    <t>Total PANORO APURIMAC S.A.</t>
  </si>
  <si>
    <t>Las cifras de enero 2007 a marzo 2009 pertenecen a las declaraciones trimestrales Inversiones Mayores a 100,000 US$ (R.D. 104-96-EM/DGM)</t>
  </si>
  <si>
    <t>Total INTERNACIONAL</t>
  </si>
  <si>
    <t>Las cifras reportadas de abril 2009 en adelante pertenecen a la Declaración Estadística Mensual (R.D. 091-2009-MEM/DGM)</t>
  </si>
  <si>
    <t>COMPAÑIA MINERA AGREGADOS CALCAREOS S.A.</t>
  </si>
  <si>
    <t>SAN HILARION Nº 9-03</t>
  </si>
  <si>
    <t>Total COMPAÑIA MINERA AGREGADOS CALCAREOS S.A.</t>
  </si>
  <si>
    <t>Total MAR</t>
  </si>
  <si>
    <t>Datos extraidos del  DATAMART de Minería el 29/05/2016</t>
  </si>
  <si>
    <t xml:space="preserve">                INVERSION TOTAL ANUAL  REALIZADA POR LOS TITULARES MINEROS  AÑOS 2005-2016  Y ACUMULADO DEL AÑO 2017 AL MES DE ABRIL</t>
  </si>
  <si>
    <t>2006</t>
  </si>
  <si>
    <t>2007</t>
  </si>
  <si>
    <t>AMPLIACIONES</t>
  </si>
  <si>
    <t xml:space="preserve">SOUTHERN PERU COPPER CORPORATION </t>
  </si>
  <si>
    <t>Ampliación Toquepala</t>
  </si>
  <si>
    <t>Cu</t>
  </si>
  <si>
    <t>COMPANIA MINERA MISKI MAYO S.R.L.</t>
  </si>
  <si>
    <t>Ampliación Bayovar</t>
  </si>
  <si>
    <t>Fosfatos</t>
  </si>
  <si>
    <t>Ampliación Marcona</t>
  </si>
  <si>
    <t>Fe</t>
  </si>
  <si>
    <t>Ampliacion Toromocho</t>
  </si>
  <si>
    <t>Ampliacion Lagunas Norte</t>
  </si>
  <si>
    <t>Au</t>
  </si>
  <si>
    <t>CON EIA APROBADO / EN CONSTRUCCIÓN</t>
  </si>
  <si>
    <t>Quellaveco</t>
  </si>
  <si>
    <t>Minas Conga</t>
  </si>
  <si>
    <t>Cu, Au</t>
  </si>
  <si>
    <t>COMPAÑÍA MINERA ARES S.A.</t>
  </si>
  <si>
    <t>Crespo</t>
  </si>
  <si>
    <t>CUZCO</t>
  </si>
  <si>
    <t>Au - Ag</t>
  </si>
  <si>
    <t>MINERA SHOUXIN PERU S.A.</t>
  </si>
  <si>
    <t>Explotacion de relaves</t>
  </si>
  <si>
    <t>MARCONA</t>
  </si>
  <si>
    <t>Cu, Fe, Zn</t>
  </si>
  <si>
    <t>Shahuindo</t>
  </si>
  <si>
    <t>BEAR CREEK MINING COMPANY - SUC. DEL PERU</t>
  </si>
  <si>
    <t>Corani</t>
  </si>
  <si>
    <t>Ag</t>
  </si>
  <si>
    <t>MINERA KURI KULLU S.A.</t>
  </si>
  <si>
    <t>Ollachea</t>
  </si>
  <si>
    <t xml:space="preserve"> FOSFATOS DEL PACIFICO S.A.-FOSPAC </t>
  </si>
  <si>
    <t>Proyecto Fosfatos</t>
  </si>
  <si>
    <t>SOUTHERN PERU COPPER CORPORATION</t>
  </si>
  <si>
    <t>Tia Maria</t>
  </si>
  <si>
    <t>Tambomayo</t>
  </si>
  <si>
    <t>Au, Ag</t>
  </si>
  <si>
    <t>JINZHAO  MINING PERU S.A.</t>
  </si>
  <si>
    <t>Pampa de Pongo</t>
  </si>
  <si>
    <t>COMPAÑIA MINERA MILPO S.A.A.</t>
  </si>
  <si>
    <t>Pukaqaqa</t>
  </si>
  <si>
    <t>Cu-Mo</t>
  </si>
  <si>
    <t>COMPAÑÍA MINERA MIILPO S.A.A.</t>
  </si>
  <si>
    <t>Magistral</t>
  </si>
  <si>
    <t>ARIANA OPERACIONES MINERAS S.A.C</t>
  </si>
  <si>
    <t>Ariana</t>
  </si>
  <si>
    <t>Cu, Zn</t>
  </si>
  <si>
    <t>por definir</t>
  </si>
  <si>
    <t>CON EIA PRESENTADO / EN EVALUACIÓN</t>
  </si>
  <si>
    <t>BEAR CREEK MINING COMPANY - SUC PERU</t>
  </si>
  <si>
    <t>Santa Ana</t>
  </si>
  <si>
    <t>San Gabriel (Ex-Chucapaca)</t>
  </si>
  <si>
    <t>Marcobre (Mina Justa)</t>
  </si>
  <si>
    <t>EN EXPLORACIÓN</t>
  </si>
  <si>
    <t>PROINVERSION</t>
  </si>
  <si>
    <t>Michiquillay</t>
  </si>
  <si>
    <t>APURIMAC FERRUM S.A.</t>
  </si>
  <si>
    <t>Hierro Apurimac</t>
  </si>
  <si>
    <t>CAÑARIACO COPPER PERU S.A.</t>
  </si>
  <si>
    <t>Cañariaco</t>
  </si>
  <si>
    <t>Hilarión</t>
  </si>
  <si>
    <t>Zn</t>
  </si>
  <si>
    <t>COMPAÑIA MINERA QUECHUA S.A.</t>
  </si>
  <si>
    <t>Quechua</t>
  </si>
  <si>
    <t>JUNEFIELD GROUP S.A.</t>
  </si>
  <si>
    <t>Don Javier</t>
  </si>
  <si>
    <t>LUMINA COPPER S.A.C.</t>
  </si>
  <si>
    <t>Galeno</t>
  </si>
  <si>
    <t>Cu, Mo, Au, Ag</t>
  </si>
  <si>
    <t>MINERA ANTARES PERU S.A.C.</t>
  </si>
  <si>
    <t>Haquira</t>
  </si>
  <si>
    <t>MINERA HAMPTON PERU S.A.C</t>
  </si>
  <si>
    <t>Los Calatos</t>
  </si>
  <si>
    <t>MINERA CUERVO S.A.C.</t>
  </si>
  <si>
    <t>Cerro Ccopane</t>
  </si>
  <si>
    <t>Por definir</t>
  </si>
  <si>
    <t>RIO BLANCO COPPER S.A.</t>
  </si>
  <si>
    <t>Río Blanco</t>
  </si>
  <si>
    <t>RIO TINTO MINERA PERU LIMITADA S.A.C.</t>
  </si>
  <si>
    <t>La Granja</t>
  </si>
  <si>
    <t>Los Chancas</t>
  </si>
  <si>
    <t>AMERICAS POTASH PERU S.A.</t>
  </si>
  <si>
    <t>Salmueras de Sechura</t>
  </si>
  <si>
    <t>Potasio</t>
  </si>
  <si>
    <t>COMPAÑIA MINERA VICHAYCOCHA S.A.</t>
  </si>
  <si>
    <t>Rondoni</t>
  </si>
  <si>
    <t>MINERA AQM COPPER PERU S.A.C.</t>
  </si>
  <si>
    <t>Zafranal</t>
  </si>
  <si>
    <t xml:space="preserve"> EXPLORACIONES COLLASUYO S.A.C. </t>
  </si>
  <si>
    <t>Accha</t>
  </si>
  <si>
    <t>Zn, Pb</t>
  </si>
  <si>
    <t>MANTARO PERU S.A.</t>
  </si>
  <si>
    <t>Fosfatos Mantaro</t>
  </si>
  <si>
    <t>Quicay II</t>
  </si>
  <si>
    <t>Au, Cu</t>
  </si>
  <si>
    <t>ANABI S.A.C</t>
  </si>
  <si>
    <t>Anubia</t>
  </si>
  <si>
    <t xml:space="preserve">Explotacion de relaves Bofedal 2 </t>
  </si>
  <si>
    <t>Sn</t>
  </si>
  <si>
    <t>Cotabambas</t>
  </si>
  <si>
    <t>Cu, Au, Ag</t>
  </si>
  <si>
    <t>EL MOLLE VERDE S.A.C.</t>
  </si>
  <si>
    <t>Trapiche</t>
  </si>
  <si>
    <t>Cu, Mo, Ag</t>
  </si>
  <si>
    <t>PLATEAU URANIUM</t>
  </si>
  <si>
    <t>Macusani</t>
  </si>
  <si>
    <t>Uranio</t>
  </si>
  <si>
    <t xml:space="preserve">  EMPRESA</t>
  </si>
  <si>
    <t>PROYECTO</t>
  </si>
  <si>
    <t>REGION</t>
  </si>
  <si>
    <t>MINERAL</t>
  </si>
  <si>
    <t>inverSIÓN us$ mm</t>
  </si>
  <si>
    <t>Otros Metales</t>
  </si>
  <si>
    <t>Boletín Estadístico Minero: Empleo en Minería</t>
  </si>
  <si>
    <t>2017:  Abril</t>
  </si>
  <si>
    <t xml:space="preserve"> al 24 de mayo de 2017 </t>
  </si>
  <si>
    <t>Tabla 05.1:</t>
  </si>
  <si>
    <t>Tabla 05.2:</t>
  </si>
  <si>
    <t>EMPLEO DIRECTO PROMEDIO SEGÚN EMPLEADOR</t>
  </si>
  <si>
    <t>ABRIL 2017: EMPLEO DIRECTO SEGÚN REGIÓN</t>
  </si>
  <si>
    <t>Compañía</t>
  </si>
  <si>
    <t>Contratista</t>
  </si>
  <si>
    <t>Total</t>
  </si>
  <si>
    <t>Región</t>
  </si>
  <si>
    <t>Personas</t>
  </si>
  <si>
    <t>Part.%</t>
  </si>
  <si>
    <t>Ene</t>
  </si>
  <si>
    <t>Tabla 05.3:</t>
  </si>
  <si>
    <t>VARIACIÓN INTERANUAL / ABRIL</t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</si>
  <si>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 24 de mayo  de 2017</t>
    </r>
  </si>
  <si>
    <t>Boletín Estadístico Minero: Empleo en el Sector Minero</t>
  </si>
  <si>
    <r>
      <rPr>
        <b/>
        <sz val="16"/>
        <color indexed="56"/>
        <rFont val="Century Schoolbook"/>
        <family val="1"/>
      </rPr>
      <t>Sector Minero</t>
    </r>
    <r>
      <rPr>
        <sz val="16"/>
        <color indexed="56"/>
        <rFont val="Century Schoolbook"/>
        <family val="1"/>
      </rPr>
      <t xml:space="preserve"> - Distribución del Empleo Directo por Regiones - Abril </t>
    </r>
    <r>
      <rPr>
        <b/>
        <sz val="16"/>
        <color indexed="56"/>
        <rFont val="Century Schoolbook"/>
        <family val="1"/>
      </rPr>
      <t>20l7</t>
    </r>
  </si>
  <si>
    <r>
      <t>Distribución del Empleo Directo por Regiones   Abril</t>
    </r>
    <r>
      <rPr>
        <b/>
        <sz val="14"/>
        <rFont val="Calibri"/>
        <family val="2"/>
      </rPr>
      <t xml:space="preserve"> 2017</t>
    </r>
  </si>
  <si>
    <t>Nro. de Trabajadores</t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</si>
  <si>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24 de mayo de 2017 </t>
    </r>
  </si>
  <si>
    <r>
      <t xml:space="preserve">Tendencias del Personal Ocupado en Minería en el mes de Abril - </t>
    </r>
    <r>
      <rPr>
        <sz val="14"/>
        <color indexed="56"/>
        <rFont val="Century Schoolbook"/>
        <family val="1"/>
      </rPr>
      <t>Número de Trabajadores</t>
    </r>
  </si>
  <si>
    <r>
      <t xml:space="preserve">Comparativo de Nro. de Trabajadores Empleados en el Mes de abril </t>
    </r>
    <r>
      <rPr>
        <sz val="14"/>
        <rFont val="Calibri"/>
        <family val="2"/>
      </rPr>
      <t>de Cada Año Respectivamente</t>
    </r>
  </si>
  <si>
    <t>2015 (p)</t>
  </si>
  <si>
    <t>2016 (p)</t>
  </si>
  <si>
    <t>2017 (p)</t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</si>
  <si>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24 de mayo  de 2017</t>
    </r>
  </si>
  <si>
    <t xml:space="preserve">Tabla 01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</si>
</sst>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0.0"/>
    <numFmt numFmtId="175" formatCode="0.000%"/>
    <numFmt numFmtId="176" formatCode="General_)"/>
    <numFmt numFmtId="177" formatCode="_ * #,##0.0000_ ;_ * \-#,##0.0000_ ;_ * &quot;-&quot;??_ ;_ @_ "/>
    <numFmt numFmtId="178" formatCode="#,##0.00_ ;\-#,##0.00\ "/>
    <numFmt numFmtId="179" formatCode="0.0000%"/>
    <numFmt numFmtId="180" formatCode="#,##0.000"/>
    <numFmt numFmtId="181" formatCode="_-* #,##0_-;\-* #,##0_-;_-* &quot;-&quot;??_-;_-@_-"/>
    <numFmt numFmtId="182" formatCode="#,##0.00000"/>
    <numFmt numFmtId="183" formatCode="#,##0;[Red]#,##0"/>
  </numFmts>
  <fonts count="1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/>
      <sz val="12"/>
      <name val="Century Gothic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color indexed="9"/>
      <name val="Verdana"/>
      <family val="2"/>
    </font>
    <font>
      <b/>
      <sz val="11"/>
      <color indexed="9"/>
      <name val="Arial"/>
      <family val="2"/>
    </font>
    <font>
      <b/>
      <sz val="8"/>
      <name val="Tahoma"/>
      <family val="2"/>
    </font>
    <font>
      <sz val="10"/>
      <color theme="1"/>
      <name val="Arial"/>
      <family val="2"/>
    </font>
    <font>
      <b/>
      <sz val="10"/>
      <name val="Verdana"/>
      <family val="2"/>
    </font>
    <font>
      <b/>
      <sz val="8.5"/>
      <name val="Verdana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u/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5CC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u val="double"/>
      <sz val="12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2"/>
      <color rgb="FF3333FF"/>
      <name val="Arial"/>
      <family val="2"/>
    </font>
    <font>
      <b/>
      <sz val="12"/>
      <name val="Century Gothic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rgb="FF005392"/>
      <name val="Arial"/>
      <family val="2"/>
    </font>
    <font>
      <b/>
      <sz val="9"/>
      <name val="Arial"/>
      <family val="2"/>
    </font>
    <font>
      <sz val="20"/>
      <color theme="0"/>
      <name val="Bodoni MT"/>
      <family val="1"/>
    </font>
    <font>
      <sz val="14"/>
      <color theme="0"/>
      <name val="Arial Unicode MS"/>
      <family val="2"/>
    </font>
    <font>
      <sz val="14"/>
      <color theme="0"/>
      <name val="Candara"/>
      <family val="2"/>
    </font>
    <font>
      <b/>
      <sz val="11"/>
      <name val="Calibri"/>
      <family val="2"/>
      <scheme val="minor"/>
    </font>
    <font>
      <sz val="8"/>
      <name val="Bookman Old Style"/>
      <family val="1"/>
    </font>
    <font>
      <b/>
      <sz val="11"/>
      <color theme="3" tint="-0.249977111117893"/>
      <name val="Calibri"/>
      <family val="2"/>
      <scheme val="minor"/>
    </font>
    <font>
      <sz val="9"/>
      <name val="Bookman Old Style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Bookman Old Style"/>
      <family val="1"/>
    </font>
    <font>
      <b/>
      <sz val="8"/>
      <color theme="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56"/>
      <name val="Century Schoolbook"/>
      <family val="1"/>
    </font>
    <font>
      <b/>
      <sz val="16"/>
      <color indexed="56"/>
      <name val="Century Schoolbook"/>
      <family val="1"/>
    </font>
    <font>
      <sz val="16"/>
      <color rgb="FF002060"/>
      <name val="Century Schoolbook"/>
      <family val="1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</font>
    <font>
      <sz val="14"/>
      <color indexed="56"/>
      <name val="Century Schoolbook"/>
      <family val="1"/>
    </font>
    <font>
      <sz val="14"/>
      <name val="Calibri"/>
      <family val="2"/>
    </font>
    <font>
      <sz val="12"/>
      <name val="Bookman Old Style"/>
      <family val="1"/>
    </font>
    <font>
      <b/>
      <u/>
      <sz val="12"/>
      <color theme="0"/>
      <name val="Century Gothic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67447"/>
      </left>
      <right/>
      <top style="medium">
        <color rgb="FF167447"/>
      </top>
      <bottom/>
      <diagonal/>
    </border>
    <border>
      <left/>
      <right style="medium">
        <color rgb="FF167447"/>
      </right>
      <top style="medium">
        <color rgb="FF167447"/>
      </top>
      <bottom/>
      <diagonal/>
    </border>
    <border>
      <left style="medium">
        <color rgb="FF167447"/>
      </left>
      <right/>
      <top style="mediumDashed">
        <color rgb="FF167447"/>
      </top>
      <bottom/>
      <diagonal/>
    </border>
    <border>
      <left/>
      <right style="mediumDashed">
        <color rgb="FF167447"/>
      </right>
      <top style="mediumDashed">
        <color rgb="FF167447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13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24" fillId="0" borderId="0"/>
    <xf numFmtId="0" fontId="25" fillId="8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22" borderId="23">
      <alignment wrapText="1"/>
    </xf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32" fillId="11" borderId="20" applyNumberFormat="0" applyAlignment="0" applyProtection="0"/>
    <xf numFmtId="169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0" applyNumberFormat="0" applyBorder="0" applyAlignment="0" applyProtection="0"/>
    <xf numFmtId="43" fontId="30" fillId="0" borderId="0" applyFont="0" applyFill="0" applyBorder="0" applyAlignment="0" applyProtection="0"/>
    <xf numFmtId="0" fontId="34" fillId="27" borderId="0" applyNumberFormat="0" applyBorder="0" applyAlignment="0" applyProtection="0"/>
    <xf numFmtId="0" fontId="21" fillId="0" borderId="0"/>
    <xf numFmtId="0" fontId="9" fillId="0" borderId="0"/>
    <xf numFmtId="0" fontId="20" fillId="0" borderId="0"/>
    <xf numFmtId="0" fontId="22" fillId="0" borderId="0"/>
    <xf numFmtId="0" fontId="9" fillId="0" borderId="0"/>
    <xf numFmtId="0" fontId="19" fillId="0" borderId="0"/>
    <xf numFmtId="0" fontId="30" fillId="0" borderId="0"/>
    <xf numFmtId="0" fontId="30" fillId="28" borderId="24" applyNumberFormat="0" applyFont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1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170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4" fillId="0" borderId="0"/>
    <xf numFmtId="0" fontId="9" fillId="28" borderId="2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9" fillId="0" borderId="0"/>
    <xf numFmtId="0" fontId="43" fillId="0" borderId="0"/>
    <xf numFmtId="170" fontId="43" fillId="0" borderId="0" applyFont="0" applyFill="0" applyBorder="0" applyAlignment="0" applyProtection="0"/>
    <xf numFmtId="176" fontId="50" fillId="0" borderId="0"/>
    <xf numFmtId="176" fontId="51" fillId="0" borderId="0"/>
    <xf numFmtId="176" fontId="52" fillId="0" borderId="0"/>
    <xf numFmtId="176" fontId="53" fillId="33" borderId="0"/>
    <xf numFmtId="176" fontId="54" fillId="0" borderId="0"/>
    <xf numFmtId="170" fontId="9" fillId="0" borderId="0" applyFont="0" applyFill="0" applyBorder="0" applyAlignment="0" applyProtection="0"/>
  </cellStyleXfs>
  <cellXfs count="603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3" fontId="3" fillId="2" borderId="0" xfId="1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3" fontId="2" fillId="2" borderId="1" xfId="1" applyNumberFormat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0" fontId="7" fillId="2" borderId="2" xfId="1" applyFont="1" applyBorder="1" applyAlignment="1">
      <alignment horizontal="center"/>
    </xf>
    <xf numFmtId="10" fontId="3" fillId="2" borderId="0" xfId="3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6" xfId="1" applyFont="1" applyBorder="1" applyAlignment="1">
      <alignment horizontal="center"/>
    </xf>
    <xf numFmtId="3" fontId="3" fillId="2" borderId="7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2" fillId="2" borderId="1" xfId="1" applyFont="1" applyBorder="1" applyAlignment="1"/>
    <xf numFmtId="3" fontId="3" fillId="2" borderId="0" xfId="1" applyNumberFormat="1" applyAlignment="1">
      <alignment horizontal="right"/>
    </xf>
    <xf numFmtId="3" fontId="2" fillId="2" borderId="1" xfId="1" applyNumberFormat="1" applyFont="1" applyBorder="1" applyAlignment="1">
      <alignment horizontal="right"/>
    </xf>
    <xf numFmtId="10" fontId="0" fillId="2" borderId="0" xfId="3" applyNumberFormat="1" applyFont="1" applyFill="1"/>
    <xf numFmtId="3" fontId="0" fillId="2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10" fontId="1" fillId="2" borderId="1" xfId="3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3" fillId="5" borderId="0" xfId="0" applyFont="1" applyFill="1"/>
    <xf numFmtId="0" fontId="11" fillId="2" borderId="0" xfId="1" applyFont="1" applyAlignment="1">
      <alignment horizontal="left"/>
    </xf>
    <xf numFmtId="0" fontId="14" fillId="5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14" fillId="5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1" applyFont="1">
      <alignment horizontal="left"/>
    </xf>
    <xf numFmtId="0" fontId="15" fillId="2" borderId="0" xfId="1" applyFont="1">
      <alignment horizontal="left"/>
    </xf>
    <xf numFmtId="0" fontId="12" fillId="2" borderId="0" xfId="1" applyFont="1">
      <alignment horizontal="left"/>
    </xf>
    <xf numFmtId="0" fontId="11" fillId="2" borderId="0" xfId="0" applyFont="1" applyFill="1" applyBorder="1" applyAlignment="1">
      <alignment horizontal="center"/>
    </xf>
    <xf numFmtId="0" fontId="15" fillId="2" borderId="0" xfId="1" applyFont="1" applyAlignment="1">
      <alignment horizontal="center"/>
    </xf>
    <xf numFmtId="0" fontId="11" fillId="2" borderId="0" xfId="1" applyFont="1" applyAlignment="1"/>
    <xf numFmtId="4" fontId="11" fillId="2" borderId="0" xfId="1" applyNumberFormat="1" applyFont="1" applyAlignment="1">
      <alignment horizontal="center"/>
    </xf>
    <xf numFmtId="4" fontId="3" fillId="2" borderId="0" xfId="1" applyNumberFormat="1">
      <alignment horizontal="left"/>
    </xf>
    <xf numFmtId="3" fontId="3" fillId="2" borderId="0" xfId="1" applyNumberFormat="1" applyAlignment="1">
      <alignment horizontal="left"/>
    </xf>
    <xf numFmtId="3" fontId="2" fillId="2" borderId="1" xfId="1" applyNumberFormat="1" applyFont="1" applyBorder="1" applyAlignment="1">
      <alignment horizontal="left"/>
    </xf>
    <xf numFmtId="10" fontId="2" fillId="2" borderId="1" xfId="3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Alignment="1">
      <alignment horizontal="center"/>
    </xf>
    <xf numFmtId="0" fontId="10" fillId="2" borderId="0" xfId="1" applyFont="1" applyAlignment="1">
      <alignment horizontal="left"/>
    </xf>
    <xf numFmtId="0" fontId="10" fillId="2" borderId="0" xfId="1" applyFont="1" applyAlignment="1">
      <alignment horizontal="center"/>
    </xf>
    <xf numFmtId="0" fontId="10" fillId="2" borderId="0" xfId="1" applyFont="1">
      <alignment horizontal="left"/>
    </xf>
    <xf numFmtId="0" fontId="11" fillId="2" borderId="0" xfId="1" applyFont="1" applyFill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3" fontId="11" fillId="2" borderId="0" xfId="1" applyNumberFormat="1" applyFont="1" applyBorder="1" applyAlignment="1">
      <alignment horizontal="left"/>
    </xf>
    <xf numFmtId="4" fontId="12" fillId="2" borderId="0" xfId="1" applyNumberFormat="1" applyFont="1" applyAlignment="1">
      <alignment horizontal="center"/>
    </xf>
    <xf numFmtId="4" fontId="15" fillId="2" borderId="0" xfId="1" applyNumberFormat="1" applyFont="1" applyAlignment="1">
      <alignment horizontal="center"/>
    </xf>
    <xf numFmtId="0" fontId="15" fillId="2" borderId="0" xfId="1" applyFont="1" applyBorder="1" applyAlignment="1">
      <alignment horizontal="center"/>
    </xf>
    <xf numFmtId="0" fontId="16" fillId="2" borderId="0" xfId="0" applyFont="1" applyFill="1"/>
    <xf numFmtId="0" fontId="18" fillId="2" borderId="0" xfId="1" applyFont="1">
      <alignment horizontal="left"/>
    </xf>
    <xf numFmtId="167" fontId="3" fillId="2" borderId="0" xfId="1" applyNumberFormat="1" applyAlignment="1">
      <alignment horizontal="center"/>
    </xf>
    <xf numFmtId="0" fontId="10" fillId="2" borderId="0" xfId="0" applyFont="1" applyFill="1" applyAlignment="1"/>
    <xf numFmtId="167" fontId="3" fillId="2" borderId="18" xfId="1" applyNumberFormat="1" applyBorder="1" applyAlignment="1">
      <alignment horizontal="center"/>
    </xf>
    <xf numFmtId="167" fontId="3" fillId="2" borderId="19" xfId="1" applyNumberFormat="1" applyBorder="1" applyAlignment="1">
      <alignment horizontal="center"/>
    </xf>
    <xf numFmtId="167" fontId="3" fillId="2" borderId="17" xfId="1" applyNumberFormat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167" fontId="3" fillId="2" borderId="0" xfId="1" applyNumberFormat="1" applyAlignment="1">
      <alignment horizontal="left"/>
    </xf>
    <xf numFmtId="3" fontId="3" fillId="2" borderId="33" xfId="2" applyNumberFormat="1" applyFont="1" applyFill="1" applyBorder="1" applyAlignment="1">
      <alignment horizontal="center"/>
    </xf>
    <xf numFmtId="3" fontId="3" fillId="2" borderId="32" xfId="2" applyNumberFormat="1" applyFont="1" applyFill="1" applyBorder="1" applyAlignment="1">
      <alignment horizontal="center"/>
    </xf>
    <xf numFmtId="3" fontId="3" fillId="2" borderId="35" xfId="2" applyNumberFormat="1" applyFont="1" applyFill="1" applyBorder="1" applyAlignment="1">
      <alignment horizontal="center"/>
    </xf>
    <xf numFmtId="3" fontId="3" fillId="2" borderId="36" xfId="2" applyNumberFormat="1" applyFont="1" applyFill="1" applyBorder="1" applyAlignment="1">
      <alignment horizontal="center"/>
    </xf>
    <xf numFmtId="0" fontId="2" fillId="2" borderId="10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3" fontId="2" fillId="2" borderId="37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8" xfId="1" applyNumberFormat="1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10" fontId="3" fillId="2" borderId="3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1" applyFont="1" applyFill="1" applyAlignment="1"/>
    <xf numFmtId="1" fontId="3" fillId="2" borderId="7" xfId="1" applyNumberForma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left" vertical="center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0" fontId="5" fillId="4" borderId="0" xfId="1" applyFont="1" applyFill="1" applyAlignment="1">
      <alignment horizontal="center"/>
    </xf>
    <xf numFmtId="0" fontId="45" fillId="2" borderId="0" xfId="0" applyFont="1" applyFill="1"/>
    <xf numFmtId="3" fontId="16" fillId="2" borderId="0" xfId="1" applyNumberFormat="1" applyFont="1" applyFill="1" applyAlignment="1">
      <alignment horizontal="center"/>
    </xf>
    <xf numFmtId="0" fontId="16" fillId="2" borderId="0" xfId="1" applyFont="1" applyFill="1">
      <alignment horizontal="left"/>
    </xf>
    <xf numFmtId="0" fontId="45" fillId="2" borderId="0" xfId="0" applyFont="1" applyFill="1" applyAlignment="1">
      <alignment horizontal="left"/>
    </xf>
    <xf numFmtId="0" fontId="46" fillId="2" borderId="0" xfId="1" applyFont="1" applyFill="1" applyAlignment="1">
      <alignment horizontal="left"/>
    </xf>
    <xf numFmtId="3" fontId="46" fillId="2" borderId="0" xfId="1" applyNumberFormat="1" applyFont="1" applyFill="1" applyAlignment="1">
      <alignment horizontal="center"/>
    </xf>
    <xf numFmtId="0" fontId="46" fillId="2" borderId="0" xfId="1" applyFont="1" applyFill="1">
      <alignment horizontal="left"/>
    </xf>
    <xf numFmtId="0" fontId="17" fillId="4" borderId="0" xfId="1" applyFont="1" applyFill="1" applyAlignment="1">
      <alignment horizontal="left"/>
    </xf>
    <xf numFmtId="1" fontId="17" fillId="4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4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3" fontId="45" fillId="2" borderId="2" xfId="1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9" fontId="45" fillId="2" borderId="5" xfId="3" applyFont="1" applyFill="1" applyBorder="1" applyAlignment="1">
      <alignment horizontal="center"/>
    </xf>
    <xf numFmtId="10" fontId="45" fillId="2" borderId="2" xfId="3" applyNumberFormat="1" applyFont="1" applyFill="1" applyBorder="1" applyAlignment="1">
      <alignment horizontal="center"/>
    </xf>
    <xf numFmtId="165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center"/>
    </xf>
    <xf numFmtId="3" fontId="16" fillId="2" borderId="6" xfId="2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10" fontId="16" fillId="2" borderId="0" xfId="3" applyNumberFormat="1" applyFont="1" applyFill="1" applyAlignment="1">
      <alignment horizontal="center"/>
    </xf>
    <xf numFmtId="3" fontId="16" fillId="2" borderId="8" xfId="2" applyNumberFormat="1" applyFont="1" applyFill="1" applyBorder="1" applyAlignment="1">
      <alignment horizontal="center"/>
    </xf>
    <xf numFmtId="10" fontId="16" fillId="2" borderId="9" xfId="3" applyNumberFormat="1" applyFont="1" applyFill="1" applyBorder="1" applyAlignment="1">
      <alignment horizontal="center"/>
    </xf>
    <xf numFmtId="0" fontId="9" fillId="2" borderId="2" xfId="0" applyFont="1" applyFill="1" applyBorder="1"/>
    <xf numFmtId="0" fontId="16" fillId="2" borderId="0" xfId="1" applyFont="1" applyFill="1" applyBorder="1">
      <alignment horizontal="left"/>
    </xf>
    <xf numFmtId="1" fontId="9" fillId="2" borderId="41" xfId="0" applyNumberFormat="1" applyFont="1" applyFill="1" applyBorder="1"/>
    <xf numFmtId="3" fontId="45" fillId="2" borderId="5" xfId="1" applyNumberFormat="1" applyFont="1" applyFill="1" applyBorder="1" applyAlignment="1">
      <alignment horizontal="center"/>
    </xf>
    <xf numFmtId="3" fontId="16" fillId="2" borderId="10" xfId="2" applyNumberFormat="1" applyFont="1" applyFill="1" applyBorder="1" applyAlignment="1">
      <alignment horizontal="center"/>
    </xf>
    <xf numFmtId="10" fontId="16" fillId="2" borderId="11" xfId="3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0" fontId="2" fillId="2" borderId="0" xfId="0" applyFont="1" applyFill="1" applyAlignment="1">
      <alignment horizontal="left"/>
    </xf>
    <xf numFmtId="3" fontId="3" fillId="2" borderId="0" xfId="1" applyNumberFormat="1" applyFont="1" applyAlignment="1">
      <alignment horizontal="center"/>
    </xf>
    <xf numFmtId="0" fontId="11" fillId="2" borderId="0" xfId="0" applyFont="1" applyFill="1" applyAlignment="1">
      <alignment horizontal="left"/>
    </xf>
    <xf numFmtId="0" fontId="2" fillId="2" borderId="0" xfId="1" applyFont="1" applyAlignment="1">
      <alignment horizontal="left"/>
    </xf>
    <xf numFmtId="0" fontId="3" fillId="2" borderId="0" xfId="1" applyFont="1" applyFill="1">
      <alignment horizontal="left"/>
    </xf>
    <xf numFmtId="4" fontId="3" fillId="2" borderId="0" xfId="0" applyNumberFormat="1" applyFont="1" applyFill="1" applyAlignment="1">
      <alignment horizontal="center"/>
    </xf>
    <xf numFmtId="0" fontId="20" fillId="0" borderId="0" xfId="47"/>
    <xf numFmtId="0" fontId="20" fillId="2" borderId="31" xfId="47" applyFill="1" applyBorder="1" applyAlignment="1">
      <alignment horizontal="center" vertical="center"/>
    </xf>
    <xf numFmtId="0" fontId="20" fillId="2" borderId="30" xfId="47" applyFill="1" applyBorder="1" applyAlignment="1">
      <alignment vertical="center"/>
    </xf>
    <xf numFmtId="170" fontId="20" fillId="2" borderId="30" xfId="65" applyNumberFormat="1" applyFont="1" applyFill="1" applyBorder="1" applyAlignment="1">
      <alignment horizontal="center" vertical="center"/>
    </xf>
    <xf numFmtId="170" fontId="20" fillId="2" borderId="17" xfId="65" applyNumberFormat="1" applyFont="1" applyFill="1" applyBorder="1" applyAlignment="1">
      <alignment horizontal="center" vertical="center"/>
    </xf>
    <xf numFmtId="0" fontId="20" fillId="2" borderId="40" xfId="47" applyFill="1" applyBorder="1" applyAlignment="1">
      <alignment horizontal="center" vertical="center"/>
    </xf>
    <xf numFmtId="0" fontId="20" fillId="2" borderId="0" xfId="47" applyFill="1" applyBorder="1" applyAlignment="1">
      <alignment vertical="center"/>
    </xf>
    <xf numFmtId="170" fontId="20" fillId="2" borderId="0" xfId="65" applyNumberFormat="1" applyFont="1" applyFill="1" applyBorder="1" applyAlignment="1">
      <alignment horizontal="center" vertical="center"/>
    </xf>
    <xf numFmtId="170" fontId="20" fillId="2" borderId="18" xfId="65" applyNumberFormat="1" applyFont="1" applyFill="1" applyBorder="1" applyAlignment="1">
      <alignment horizontal="center" vertical="center"/>
    </xf>
    <xf numFmtId="0" fontId="20" fillId="2" borderId="42" xfId="47" applyFill="1" applyBorder="1" applyAlignment="1">
      <alignment horizontal="center" vertical="center"/>
    </xf>
    <xf numFmtId="0" fontId="20" fillId="2" borderId="39" xfId="47" applyFill="1" applyBorder="1" applyAlignment="1">
      <alignment vertical="center"/>
    </xf>
    <xf numFmtId="170" fontId="20" fillId="2" borderId="39" xfId="65" applyNumberFormat="1" applyFont="1" applyFill="1" applyBorder="1" applyAlignment="1">
      <alignment horizontal="center" vertical="center"/>
    </xf>
    <xf numFmtId="170" fontId="20" fillId="2" borderId="19" xfId="65" applyNumberFormat="1" applyFont="1" applyFill="1" applyBorder="1" applyAlignment="1">
      <alignment horizontal="center" vertical="center"/>
    </xf>
    <xf numFmtId="0" fontId="20" fillId="2" borderId="1" xfId="47" applyFill="1" applyBorder="1" applyAlignment="1">
      <alignment horizontal="center" vertical="center"/>
    </xf>
    <xf numFmtId="0" fontId="20" fillId="2" borderId="1" xfId="47" applyFill="1" applyBorder="1" applyAlignment="1">
      <alignment vertical="center"/>
    </xf>
    <xf numFmtId="0" fontId="20" fillId="2" borderId="1" xfId="47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9" fontId="3" fillId="2" borderId="0" xfId="3" applyFont="1" applyFill="1" applyAlignment="1">
      <alignment horizontal="left"/>
    </xf>
    <xf numFmtId="9" fontId="10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11" fillId="2" borderId="0" xfId="3" applyFont="1" applyFill="1" applyAlignment="1">
      <alignment horizontal="left"/>
    </xf>
    <xf numFmtId="0" fontId="5" fillId="4" borderId="0" xfId="1" applyFont="1" applyFill="1" applyAlignment="1">
      <alignment horizontal="center"/>
    </xf>
    <xf numFmtId="3" fontId="16" fillId="2" borderId="0" xfId="1" applyNumberFormat="1" applyFont="1" applyFill="1">
      <alignment horizontal="left"/>
    </xf>
    <xf numFmtId="0" fontId="5" fillId="4" borderId="0" xfId="1" applyFont="1" applyFill="1" applyAlignment="1">
      <alignment horizontal="left"/>
    </xf>
    <xf numFmtId="0" fontId="18" fillId="4" borderId="0" xfId="1" applyFont="1" applyFill="1" applyAlignment="1">
      <alignment horizontal="left"/>
    </xf>
    <xf numFmtId="0" fontId="18" fillId="4" borderId="0" xfId="1" applyFont="1" applyFill="1" applyAlignment="1">
      <alignment horizontal="center"/>
    </xf>
    <xf numFmtId="3" fontId="3" fillId="30" borderId="0" xfId="1" applyNumberForma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0" fontId="5" fillId="4" borderId="0" xfId="1" applyFont="1" applyFill="1" applyAlignment="1"/>
    <xf numFmtId="0" fontId="5" fillId="4" borderId="0" xfId="1" applyNumberFormat="1" applyFont="1" applyFill="1" applyAlignment="1">
      <alignment horizontal="center"/>
    </xf>
    <xf numFmtId="0" fontId="8" fillId="4" borderId="0" xfId="0" applyFont="1" applyFill="1"/>
    <xf numFmtId="0" fontId="17" fillId="4" borderId="0" xfId="0" applyFont="1" applyFill="1"/>
    <xf numFmtId="3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" fontId="3" fillId="30" borderId="6" xfId="1" applyNumberFormat="1" applyFill="1" applyBorder="1" applyAlignment="1">
      <alignment horizontal="center"/>
    </xf>
    <xf numFmtId="3" fontId="3" fillId="30" borderId="7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8" fillId="31" borderId="0" xfId="47" applyFont="1" applyFill="1" applyAlignment="1">
      <alignment horizontal="center" vertical="center"/>
    </xf>
    <xf numFmtId="0" fontId="48" fillId="31" borderId="0" xfId="47" applyFont="1" applyFill="1" applyAlignment="1">
      <alignment vertical="center"/>
    </xf>
    <xf numFmtId="0" fontId="48" fillId="31" borderId="0" xfId="47" applyFont="1" applyFill="1" applyAlignment="1">
      <alignment horizontal="center" vertical="center" wrapText="1"/>
    </xf>
    <xf numFmtId="9" fontId="3" fillId="2" borderId="0" xfId="3" applyFont="1" applyFill="1" applyAlignment="1">
      <alignment horizontal="center"/>
    </xf>
    <xf numFmtId="0" fontId="1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172" fontId="3" fillId="30" borderId="6" xfId="2" applyNumberFormat="1" applyFont="1" applyFill="1" applyBorder="1" applyAlignment="1">
      <alignment horizontal="center"/>
    </xf>
    <xf numFmtId="172" fontId="3" fillId="30" borderId="7" xfId="2" applyNumberFormat="1" applyFont="1" applyFill="1" applyBorder="1" applyAlignment="1">
      <alignment horizontal="center"/>
    </xf>
    <xf numFmtId="172" fontId="3" fillId="30" borderId="0" xfId="2" applyNumberFormat="1" applyFont="1" applyFill="1" applyBorder="1" applyAlignment="1">
      <alignment horizontal="center"/>
    </xf>
    <xf numFmtId="172" fontId="3" fillId="2" borderId="7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7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8" xfId="2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" fontId="3" fillId="2" borderId="0" xfId="1" applyNumberFormat="1" applyFont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4" fontId="3" fillId="2" borderId="39" xfId="3" applyNumberFormat="1" applyFont="1" applyFill="1" applyBorder="1" applyAlignment="1">
      <alignment horizontal="center"/>
    </xf>
    <xf numFmtId="174" fontId="3" fillId="2" borderId="0" xfId="1" applyNumberFormat="1">
      <alignment horizontal="left"/>
    </xf>
    <xf numFmtId="165" fontId="3" fillId="2" borderId="0" xfId="2" applyNumberFormat="1" applyFont="1" applyFill="1" applyAlignment="1">
      <alignment horizontal="center"/>
    </xf>
    <xf numFmtId="175" fontId="0" fillId="2" borderId="0" xfId="3" applyNumberFormat="1" applyFont="1" applyFill="1"/>
    <xf numFmtId="0" fontId="5" fillId="4" borderId="0" xfId="1" applyFont="1" applyFill="1" applyAlignment="1">
      <alignment horizontal="center"/>
    </xf>
    <xf numFmtId="172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3" fillId="30" borderId="0" xfId="2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4" fontId="49" fillId="0" borderId="43" xfId="0" applyNumberFormat="1" applyFont="1" applyBorder="1" applyAlignment="1">
      <alignment horizontal="right" vertical="center"/>
    </xf>
    <xf numFmtId="9" fontId="3" fillId="29" borderId="45" xfId="3" applyFont="1" applyFill="1" applyBorder="1" applyAlignment="1">
      <alignment horizontal="center"/>
    </xf>
    <xf numFmtId="10" fontId="3" fillId="29" borderId="45" xfId="3" applyNumberFormat="1" applyFont="1" applyFill="1" applyBorder="1" applyAlignment="1">
      <alignment horizontal="center"/>
    </xf>
    <xf numFmtId="10" fontId="3" fillId="29" borderId="44" xfId="3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0" xfId="1" applyNumberFormat="1" applyFill="1" applyAlignment="1">
      <alignment horizontal="left"/>
    </xf>
    <xf numFmtId="3" fontId="3" fillId="2" borderId="0" xfId="1" applyNumberForma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6" xfId="1" applyBorder="1" applyAlignment="1">
      <alignment horizontal="center"/>
    </xf>
    <xf numFmtId="3" fontId="3" fillId="2" borderId="36" xfId="1" applyNumberFormat="1" applyBorder="1" applyAlignment="1">
      <alignment horizontal="center"/>
    </xf>
    <xf numFmtId="165" fontId="3" fillId="30" borderId="36" xfId="2" applyNumberFormat="1" applyFont="1" applyFill="1" applyBorder="1" applyAlignment="1">
      <alignment horizontal="center"/>
    </xf>
    <xf numFmtId="165" fontId="3" fillId="2" borderId="36" xfId="2" applyNumberFormat="1" applyFont="1" applyFill="1" applyBorder="1" applyAlignment="1">
      <alignment horizontal="center"/>
    </xf>
    <xf numFmtId="3" fontId="2" fillId="2" borderId="36" xfId="1" applyNumberFormat="1" applyFont="1" applyBorder="1" applyAlignment="1">
      <alignment horizontal="center"/>
    </xf>
    <xf numFmtId="3" fontId="2" fillId="2" borderId="36" xfId="1" applyNumberFormat="1" applyFont="1" applyBorder="1" applyAlignment="1">
      <alignment horizontal="right"/>
    </xf>
    <xf numFmtId="10" fontId="3" fillId="2" borderId="36" xfId="3" applyNumberFormat="1" applyFont="1" applyFill="1" applyBorder="1" applyAlignment="1">
      <alignment horizontal="center"/>
    </xf>
    <xf numFmtId="0" fontId="1" fillId="0" borderId="4" xfId="0" applyFont="1" applyBorder="1"/>
    <xf numFmtId="0" fontId="47" fillId="2" borderId="41" xfId="47" applyFont="1" applyFill="1" applyBorder="1" applyAlignment="1">
      <alignment vertical="center"/>
    </xf>
    <xf numFmtId="170" fontId="47" fillId="2" borderId="41" xfId="65" applyNumberFormat="1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left"/>
    </xf>
    <xf numFmtId="0" fontId="55" fillId="2" borderId="0" xfId="0" applyFont="1" applyFill="1"/>
    <xf numFmtId="0" fontId="55" fillId="2" borderId="0" xfId="0" applyFont="1" applyFill="1" applyBorder="1" applyAlignment="1">
      <alignment horizontal="left"/>
    </xf>
    <xf numFmtId="0" fontId="55" fillId="2" borderId="39" xfId="0" applyFont="1" applyFill="1" applyBorder="1" applyAlignment="1">
      <alignment horizontal="left"/>
    </xf>
    <xf numFmtId="4" fontId="2" fillId="2" borderId="1" xfId="1" applyNumberFormat="1" applyFont="1" applyBorder="1" applyAlignment="1">
      <alignment horizontal="center"/>
    </xf>
    <xf numFmtId="0" fontId="1" fillId="30" borderId="1" xfId="0" applyFont="1" applyFill="1" applyBorder="1"/>
    <xf numFmtId="0" fontId="47" fillId="30" borderId="1" xfId="47" applyFont="1" applyFill="1" applyBorder="1" applyAlignment="1">
      <alignment vertical="center"/>
    </xf>
    <xf numFmtId="170" fontId="47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7" fillId="30" borderId="0" xfId="47" applyFont="1" applyFill="1" applyBorder="1" applyAlignment="1">
      <alignment vertical="center"/>
    </xf>
    <xf numFmtId="170" fontId="47" fillId="30" borderId="39" xfId="65" applyNumberFormat="1" applyFont="1" applyFill="1" applyBorder="1" applyAlignment="1">
      <alignment horizontal="center" vertical="center"/>
    </xf>
    <xf numFmtId="0" fontId="47" fillId="30" borderId="40" xfId="47" applyFont="1" applyFill="1" applyBorder="1" applyAlignment="1">
      <alignment horizontal="center" vertical="center"/>
    </xf>
    <xf numFmtId="170" fontId="47" fillId="30" borderId="0" xfId="65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left"/>
    </xf>
    <xf numFmtId="1" fontId="9" fillId="2" borderId="2" xfId="0" applyNumberFormat="1" applyFont="1" applyFill="1" applyBorder="1"/>
    <xf numFmtId="9" fontId="45" fillId="2" borderId="5" xfId="3" applyNumberFormat="1" applyFont="1" applyFill="1" applyBorder="1" applyAlignment="1">
      <alignment horizontal="center"/>
    </xf>
    <xf numFmtId="9" fontId="16" fillId="2" borderId="11" xfId="3" applyNumberFormat="1" applyFont="1" applyFill="1" applyBorder="1" applyAlignment="1">
      <alignment horizontal="center"/>
    </xf>
    <xf numFmtId="9" fontId="16" fillId="2" borderId="0" xfId="1" applyNumberFormat="1" applyFont="1" applyFill="1" applyAlignment="1">
      <alignment horizontal="center"/>
    </xf>
    <xf numFmtId="0" fontId="0" fillId="0" borderId="20" xfId="0" applyBorder="1" applyAlignment="1"/>
    <xf numFmtId="3" fontId="3" fillId="34" borderId="0" xfId="1" applyNumberForma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173" fontId="16" fillId="2" borderId="0" xfId="3" applyNumberFormat="1" applyFont="1" applyFill="1" applyAlignment="1">
      <alignment horizontal="left"/>
    </xf>
    <xf numFmtId="10" fontId="16" fillId="2" borderId="0" xfId="1" applyNumberFormat="1" applyFont="1" applyFill="1">
      <alignment horizontal="left"/>
    </xf>
    <xf numFmtId="0" fontId="0" fillId="0" borderId="0" xfId="0"/>
    <xf numFmtId="0" fontId="5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3" fillId="2" borderId="10" xfId="1" applyBorder="1" applyAlignment="1">
      <alignment horizontal="center"/>
    </xf>
    <xf numFmtId="0" fontId="3" fillId="2" borderId="11" xfId="1" applyBorder="1" applyAlignment="1">
      <alignment horizontal="center"/>
    </xf>
    <xf numFmtId="10" fontId="3" fillId="30" borderId="7" xfId="3" applyNumberFormat="1" applyFont="1" applyFill="1" applyBorder="1" applyAlignment="1">
      <alignment horizontal="center"/>
    </xf>
    <xf numFmtId="10" fontId="3" fillId="2" borderId="7" xfId="3" applyNumberFormat="1" applyFont="1" applyFill="1" applyBorder="1" applyAlignment="1">
      <alignment horizontal="center"/>
    </xf>
    <xf numFmtId="3" fontId="3" fillId="2" borderId="8" xfId="1" applyNumberFormat="1" applyBorder="1" applyAlignment="1">
      <alignment horizontal="center"/>
    </xf>
    <xf numFmtId="10" fontId="3" fillId="2" borderId="9" xfId="3" applyNumberFormat="1" applyFont="1" applyFill="1" applyBorder="1" applyAlignment="1">
      <alignment horizontal="center"/>
    </xf>
    <xf numFmtId="3" fontId="3" fillId="2" borderId="0" xfId="1" applyNumberFormat="1">
      <alignment horizontal="left"/>
    </xf>
    <xf numFmtId="9" fontId="2" fillId="2" borderId="1" xfId="3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3" fontId="56" fillId="2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10" fontId="2" fillId="35" borderId="0" xfId="3" applyNumberFormat="1" applyFont="1" applyFill="1" applyAlignment="1">
      <alignment horizontal="center"/>
    </xf>
    <xf numFmtId="172" fontId="3" fillId="2" borderId="0" xfId="2" applyNumberFormat="1" applyFont="1" applyFill="1" applyAlignment="1">
      <alignment horizontal="left"/>
    </xf>
    <xf numFmtId="10" fontId="0" fillId="2" borderId="0" xfId="0" applyNumberFormat="1" applyFill="1"/>
    <xf numFmtId="177" fontId="16" fillId="2" borderId="0" xfId="2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3" fillId="2" borderId="16" xfId="1" applyBorder="1" applyAlignment="1">
      <alignment horizontal="center"/>
    </xf>
    <xf numFmtId="3" fontId="3" fillId="2" borderId="2" xfId="1" applyNumberFormat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" fillId="2" borderId="46" xfId="1" applyFill="1" applyBorder="1">
      <alignment horizontal="left"/>
    </xf>
    <xf numFmtId="0" fontId="5" fillId="2" borderId="47" xfId="1" applyFont="1" applyFill="1" applyBorder="1" applyAlignment="1">
      <alignment horizontal="center"/>
    </xf>
    <xf numFmtId="0" fontId="3" fillId="2" borderId="48" xfId="1" applyBorder="1" applyAlignment="1">
      <alignment horizontal="center"/>
    </xf>
    <xf numFmtId="0" fontId="3" fillId="2" borderId="49" xfId="1" applyBorder="1" applyAlignment="1">
      <alignment horizontal="center"/>
    </xf>
    <xf numFmtId="166" fontId="3" fillId="30" borderId="48" xfId="2" applyNumberFormat="1" applyFont="1" applyFill="1" applyBorder="1" applyAlignment="1">
      <alignment horizontal="center"/>
    </xf>
    <xf numFmtId="3" fontId="3" fillId="30" borderId="50" xfId="1" applyNumberFormat="1" applyFill="1" applyBorder="1" applyAlignment="1">
      <alignment horizontal="center"/>
    </xf>
    <xf numFmtId="166" fontId="3" fillId="2" borderId="48" xfId="2" applyNumberFormat="1" applyFont="1" applyFill="1" applyBorder="1" applyAlignment="1">
      <alignment horizontal="center"/>
    </xf>
    <xf numFmtId="3" fontId="3" fillId="2" borderId="50" xfId="1" applyNumberFormat="1" applyBorder="1" applyAlignment="1">
      <alignment horizontal="center"/>
    </xf>
    <xf numFmtId="166" fontId="3" fillId="2" borderId="51" xfId="2" applyNumberFormat="1" applyFont="1" applyFill="1" applyBorder="1" applyAlignment="1">
      <alignment horizontal="center"/>
    </xf>
    <xf numFmtId="3" fontId="3" fillId="2" borderId="52" xfId="1" applyNumberFormat="1" applyBorder="1" applyAlignment="1">
      <alignment horizontal="center"/>
    </xf>
    <xf numFmtId="0" fontId="3" fillId="2" borderId="53" xfId="1" applyBorder="1" applyAlignment="1">
      <alignment horizontal="center"/>
    </xf>
    <xf numFmtId="0" fontId="3" fillId="2" borderId="39" xfId="1" applyBorder="1" applyAlignment="1">
      <alignment horizontal="center"/>
    </xf>
    <xf numFmtId="165" fontId="3" fillId="2" borderId="6" xfId="2" applyNumberFormat="1" applyFont="1" applyFill="1" applyBorder="1" applyAlignment="1"/>
    <xf numFmtId="3" fontId="3" fillId="2" borderId="8" xfId="1" applyNumberFormat="1" applyFill="1" applyBorder="1" applyAlignment="1">
      <alignment horizontal="center"/>
    </xf>
    <xf numFmtId="9" fontId="16" fillId="2" borderId="0" xfId="3" applyFont="1" applyFill="1" applyAlignment="1">
      <alignment horizontal="left"/>
    </xf>
    <xf numFmtId="178" fontId="3" fillId="2" borderId="0" xfId="2" applyNumberFormat="1" applyFont="1" applyFill="1" applyAlignment="1">
      <alignment horizontal="center"/>
    </xf>
    <xf numFmtId="178" fontId="3" fillId="2" borderId="0" xfId="2" applyNumberFormat="1" applyFont="1" applyFill="1" applyBorder="1" applyAlignment="1">
      <alignment horizontal="center"/>
    </xf>
    <xf numFmtId="178" fontId="3" fillId="2" borderId="39" xfId="2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79" fontId="0" fillId="2" borderId="0" xfId="3" applyNumberFormat="1" applyFont="1" applyFill="1"/>
    <xf numFmtId="0" fontId="3" fillId="2" borderId="0" xfId="1" applyFont="1" applyFill="1" applyAlignment="1">
      <alignment horizontal="center"/>
    </xf>
    <xf numFmtId="3" fontId="57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0" fontId="3" fillId="2" borderId="30" xfId="3" applyNumberFormat="1" applyFont="1" applyFill="1" applyBorder="1" applyAlignment="1">
      <alignment horizontal="center"/>
    </xf>
    <xf numFmtId="166" fontId="3" fillId="2" borderId="30" xfId="2" applyNumberFormat="1" applyFont="1" applyFill="1" applyBorder="1" applyAlignment="1">
      <alignment horizontal="center"/>
    </xf>
    <xf numFmtId="180" fontId="3" fillId="2" borderId="0" xfId="0" applyNumberFormat="1" applyFont="1" applyFill="1" applyAlignment="1">
      <alignment horizontal="center"/>
    </xf>
    <xf numFmtId="180" fontId="3" fillId="2" borderId="0" xfId="0" applyNumberFormat="1" applyFont="1" applyFill="1" applyBorder="1" applyAlignment="1">
      <alignment horizontal="center"/>
    </xf>
    <xf numFmtId="3" fontId="3" fillId="30" borderId="54" xfId="1" applyNumberFormat="1" applyFill="1" applyBorder="1" applyAlignment="1">
      <alignment horizontal="center"/>
    </xf>
    <xf numFmtId="3" fontId="3" fillId="2" borderId="54" xfId="1" applyNumberFormat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Alignment="1">
      <alignment horizontal="right"/>
    </xf>
    <xf numFmtId="173" fontId="3" fillId="2" borderId="0" xfId="3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left"/>
    </xf>
    <xf numFmtId="172" fontId="58" fillId="2" borderId="0" xfId="2" applyNumberFormat="1" applyFont="1" applyFill="1" applyAlignment="1">
      <alignment horizontal="left"/>
    </xf>
    <xf numFmtId="10" fontId="3" fillId="2" borderId="0" xfId="1" applyNumberFormat="1">
      <alignment horizontal="left"/>
    </xf>
    <xf numFmtId="10" fontId="2" fillId="2" borderId="36" xfId="3" applyNumberFormat="1" applyFont="1" applyFill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9" fontId="2" fillId="2" borderId="0" xfId="3" applyNumberFormat="1" applyFont="1" applyFill="1" applyBorder="1" applyAlignment="1">
      <alignment horizontal="center"/>
    </xf>
    <xf numFmtId="0" fontId="0" fillId="36" borderId="0" xfId="0" applyFill="1"/>
    <xf numFmtId="181" fontId="0" fillId="36" borderId="0" xfId="0" applyNumberFormat="1" applyFill="1"/>
    <xf numFmtId="181" fontId="64" fillId="36" borderId="0" xfId="3" applyNumberFormat="1" applyFont="1" applyFill="1"/>
    <xf numFmtId="0" fontId="0" fillId="0" borderId="0" xfId="0" applyBorder="1"/>
    <xf numFmtId="3" fontId="67" fillId="0" borderId="0" xfId="0" applyNumberFormat="1" applyFont="1" applyBorder="1"/>
    <xf numFmtId="0" fontId="66" fillId="0" borderId="0" xfId="0" applyFont="1" applyBorder="1"/>
    <xf numFmtId="0" fontId="68" fillId="38" borderId="36" xfId="0" applyFont="1" applyFill="1" applyBorder="1" applyAlignment="1">
      <alignment horizontal="center" vertical="center" wrapText="1"/>
    </xf>
    <xf numFmtId="3" fontId="66" fillId="0" borderId="0" xfId="0" applyNumberFormat="1" applyFont="1" applyBorder="1"/>
    <xf numFmtId="0" fontId="69" fillId="38" borderId="36" xfId="0" quotePrefix="1" applyFont="1" applyFill="1" applyBorder="1" applyAlignment="1">
      <alignment horizontal="center" vertical="center" wrapText="1"/>
    </xf>
    <xf numFmtId="181" fontId="63" fillId="0" borderId="36" xfId="2" applyNumberFormat="1" applyFont="1" applyFill="1" applyBorder="1" applyAlignment="1">
      <alignment vertical="center" wrapText="1"/>
    </xf>
    <xf numFmtId="181" fontId="63" fillId="0" borderId="36" xfId="3" applyNumberFormat="1" applyFont="1" applyBorder="1" applyAlignment="1">
      <alignment vertical="center"/>
    </xf>
    <xf numFmtId="182" fontId="70" fillId="0" borderId="0" xfId="0" applyNumberFormat="1" applyFont="1" applyBorder="1"/>
    <xf numFmtId="0" fontId="69" fillId="38" borderId="36" xfId="0" applyFont="1" applyFill="1" applyBorder="1" applyAlignment="1">
      <alignment horizontal="center" vertical="center" wrapText="1"/>
    </xf>
    <xf numFmtId="3" fontId="71" fillId="0" borderId="0" xfId="0" applyNumberFormat="1" applyFont="1" applyBorder="1"/>
    <xf numFmtId="0" fontId="72" fillId="0" borderId="36" xfId="0" applyFont="1" applyBorder="1" applyAlignment="1">
      <alignment horizontal="left" vertical="center" indent="1"/>
    </xf>
    <xf numFmtId="0" fontId="72" fillId="39" borderId="36" xfId="0" applyFont="1" applyFill="1" applyBorder="1" applyAlignment="1">
      <alignment horizontal="center" vertical="center"/>
    </xf>
    <xf numFmtId="181" fontId="63" fillId="39" borderId="36" xfId="2" applyNumberFormat="1" applyFont="1" applyFill="1" applyBorder="1" applyAlignment="1">
      <alignment vertical="center" wrapText="1"/>
    </xf>
    <xf numFmtId="181" fontId="63" fillId="39" borderId="36" xfId="3" applyNumberFormat="1" applyFont="1" applyFill="1" applyBorder="1" applyAlignment="1">
      <alignment vertical="center"/>
    </xf>
    <xf numFmtId="0" fontId="73" fillId="0" borderId="36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center" vertical="center" wrapText="1"/>
    </xf>
    <xf numFmtId="173" fontId="74" fillId="0" borderId="36" xfId="3" applyNumberFormat="1" applyFont="1" applyFill="1" applyBorder="1" applyAlignment="1">
      <alignment horizontal="center" vertical="center" wrapText="1"/>
    </xf>
    <xf numFmtId="173" fontId="75" fillId="0" borderId="36" xfId="3" applyNumberFormat="1" applyFont="1" applyFill="1" applyBorder="1" applyAlignment="1">
      <alignment horizontal="center" vertical="center" wrapText="1"/>
    </xf>
    <xf numFmtId="173" fontId="76" fillId="0" borderId="36" xfId="3" applyNumberFormat="1" applyFont="1" applyFill="1" applyBorder="1" applyAlignment="1">
      <alignment horizontal="center" vertical="center" wrapText="1"/>
    </xf>
    <xf numFmtId="0" fontId="77" fillId="36" borderId="30" xfId="0" applyFont="1" applyFill="1" applyBorder="1" applyAlignment="1">
      <alignment horizontal="center" vertical="center" wrapText="1"/>
    </xf>
    <xf numFmtId="3" fontId="67" fillId="36" borderId="30" xfId="0" applyNumberFormat="1" applyFont="1" applyFill="1" applyBorder="1"/>
    <xf numFmtId="3" fontId="67" fillId="36" borderId="0" xfId="0" applyNumberFormat="1" applyFont="1" applyFill="1" applyBorder="1"/>
    <xf numFmtId="3" fontId="0" fillId="0" borderId="0" xfId="0" applyNumberFormat="1"/>
    <xf numFmtId="0" fontId="78" fillId="36" borderId="0" xfId="0" applyFont="1" applyFill="1"/>
    <xf numFmtId="4" fontId="0" fillId="0" borderId="0" xfId="0" applyNumberFormat="1"/>
    <xf numFmtId="3" fontId="79" fillId="2" borderId="0" xfId="0" applyNumberFormat="1" applyFont="1" applyFill="1" applyBorder="1"/>
    <xf numFmtId="181" fontId="63" fillId="0" borderId="0" xfId="3" applyNumberFormat="1" applyFont="1" applyBorder="1" applyAlignment="1">
      <alignment vertical="center"/>
    </xf>
    <xf numFmtId="3" fontId="0" fillId="0" borderId="0" xfId="0" applyNumberFormat="1" applyBorder="1"/>
    <xf numFmtId="0" fontId="9" fillId="36" borderId="0" xfId="0" applyFont="1" applyFill="1"/>
    <xf numFmtId="4" fontId="80" fillId="2" borderId="0" xfId="0" applyNumberFormat="1" applyFont="1" applyFill="1" applyBorder="1"/>
    <xf numFmtId="4" fontId="81" fillId="2" borderId="0" xfId="0" applyNumberFormat="1" applyFont="1" applyFill="1" applyBorder="1"/>
    <xf numFmtId="181" fontId="63" fillId="2" borderId="0" xfId="2" applyNumberFormat="1" applyFont="1" applyFill="1" applyBorder="1" applyAlignment="1">
      <alignment vertical="center" wrapText="1"/>
    </xf>
    <xf numFmtId="0" fontId="62" fillId="36" borderId="0" xfId="0" applyFont="1" applyFill="1" applyBorder="1" applyAlignment="1">
      <alignment vertical="center"/>
    </xf>
    <xf numFmtId="0" fontId="63" fillId="36" borderId="0" xfId="0" applyFont="1" applyFill="1" applyBorder="1"/>
    <xf numFmtId="0" fontId="0" fillId="36" borderId="0" xfId="0" applyFill="1" applyBorder="1"/>
    <xf numFmtId="0" fontId="9" fillId="0" borderId="0" xfId="0" applyFont="1"/>
    <xf numFmtId="0" fontId="63" fillId="36" borderId="0" xfId="0" applyFont="1" applyFill="1"/>
    <xf numFmtId="0" fontId="9" fillId="0" borderId="0" xfId="0" applyFont="1" applyBorder="1"/>
    <xf numFmtId="0" fontId="83" fillId="36" borderId="0" xfId="0" applyFont="1" applyFill="1" applyBorder="1" applyAlignment="1">
      <alignment vertical="center"/>
    </xf>
    <xf numFmtId="0" fontId="59" fillId="2" borderId="0" xfId="0" applyFont="1" applyFill="1" applyBorder="1"/>
    <xf numFmtId="0" fontId="67" fillId="2" borderId="0" xfId="0" applyFont="1" applyFill="1" applyBorder="1"/>
    <xf numFmtId="3" fontId="67" fillId="2" borderId="0" xfId="0" applyNumberFormat="1" applyFont="1" applyFill="1" applyBorder="1"/>
    <xf numFmtId="3" fontId="84" fillId="2" borderId="0" xfId="0" applyNumberFormat="1" applyFont="1" applyFill="1" applyBorder="1"/>
    <xf numFmtId="0" fontId="59" fillId="0" borderId="0" xfId="0" applyFont="1"/>
    <xf numFmtId="0" fontId="59" fillId="0" borderId="0" xfId="0" applyFont="1" applyBorder="1"/>
    <xf numFmtId="0" fontId="67" fillId="0" borderId="0" xfId="0" applyFont="1" applyBorder="1"/>
    <xf numFmtId="0" fontId="47" fillId="40" borderId="60" xfId="0" applyFont="1" applyFill="1" applyBorder="1" applyAlignment="1">
      <alignment horizontal="center" vertical="center"/>
    </xf>
    <xf numFmtId="0" fontId="83" fillId="40" borderId="60" xfId="0" applyFont="1" applyFill="1" applyBorder="1" applyAlignment="1">
      <alignment horizontal="center" vertical="center"/>
    </xf>
    <xf numFmtId="17" fontId="61" fillId="40" borderId="45" xfId="0" quotePrefix="1" applyNumberFormat="1" applyFont="1" applyFill="1" applyBorder="1" applyAlignment="1">
      <alignment horizontal="center" vertical="center"/>
    </xf>
    <xf numFmtId="17" fontId="83" fillId="40" borderId="34" xfId="0" quotePrefix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3" fontId="0" fillId="0" borderId="36" xfId="0" applyNumberFormat="1" applyBorder="1"/>
    <xf numFmtId="173" fontId="85" fillId="0" borderId="36" xfId="74" applyNumberFormat="1" applyFont="1" applyFill="1" applyBorder="1" applyAlignment="1">
      <alignment horizontal="right" vertical="center"/>
    </xf>
    <xf numFmtId="173" fontId="86" fillId="0" borderId="36" xfId="74" applyNumberFormat="1" applyFont="1" applyFill="1" applyBorder="1" applyAlignment="1">
      <alignment horizontal="right" vertical="center"/>
    </xf>
    <xf numFmtId="0" fontId="87" fillId="0" borderId="0" xfId="0" applyFont="1"/>
    <xf numFmtId="0" fontId="9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8" fillId="0" borderId="33" xfId="0" applyFont="1" applyBorder="1" applyAlignment="1">
      <alignment vertical="center" wrapText="1"/>
    </xf>
    <xf numFmtId="3" fontId="0" fillId="0" borderId="33" xfId="0" applyNumberFormat="1" applyBorder="1"/>
    <xf numFmtId="0" fontId="0" fillId="0" borderId="4" xfId="0" applyBorder="1"/>
    <xf numFmtId="0" fontId="63" fillId="0" borderId="61" xfId="0" applyFont="1" applyBorder="1" applyAlignment="1">
      <alignment vertical="center" wrapText="1"/>
    </xf>
    <xf numFmtId="3" fontId="1" fillId="0" borderId="61" xfId="0" applyNumberFormat="1" applyFont="1" applyFill="1" applyBorder="1"/>
    <xf numFmtId="3" fontId="1" fillId="0" borderId="62" xfId="0" applyNumberFormat="1" applyFont="1" applyFill="1" applyBorder="1"/>
    <xf numFmtId="173" fontId="85" fillId="0" borderId="63" xfId="74" applyNumberFormat="1" applyFont="1" applyFill="1" applyBorder="1" applyAlignment="1">
      <alignment horizontal="right" vertical="center"/>
    </xf>
    <xf numFmtId="0" fontId="84" fillId="2" borderId="0" xfId="0" applyFont="1" applyFill="1" applyBorder="1"/>
    <xf numFmtId="3" fontId="89" fillId="2" borderId="0" xfId="0" applyNumberFormat="1" applyFont="1" applyFill="1"/>
    <xf numFmtId="173" fontId="77" fillId="2" borderId="16" xfId="3" applyNumberFormat="1" applyFont="1" applyFill="1" applyBorder="1" applyAlignment="1">
      <alignment horizontal="right" vertical="center"/>
    </xf>
    <xf numFmtId="0" fontId="89" fillId="2" borderId="0" xfId="0" applyFont="1" applyFill="1" applyBorder="1" applyAlignment="1">
      <alignment vertical="center" wrapText="1"/>
    </xf>
    <xf numFmtId="167" fontId="89" fillId="2" borderId="0" xfId="2" applyNumberFormat="1" applyFont="1" applyFill="1" applyBorder="1" applyAlignment="1">
      <alignment vertical="center" wrapText="1"/>
    </xf>
    <xf numFmtId="3" fontId="79" fillId="0" borderId="0" xfId="0" applyNumberFormat="1" applyFont="1" applyBorder="1"/>
    <xf numFmtId="3" fontId="90" fillId="0" borderId="0" xfId="0" applyNumberFormat="1" applyFont="1" applyBorder="1"/>
    <xf numFmtId="173" fontId="85" fillId="0" borderId="0" xfId="3" applyNumberFormat="1" applyFont="1" applyFill="1" applyBorder="1" applyAlignment="1">
      <alignment horizontal="right" vertical="center"/>
    </xf>
    <xf numFmtId="3" fontId="83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Border="1"/>
    <xf numFmtId="3" fontId="62" fillId="0" borderId="0" xfId="0" applyNumberFormat="1" applyFont="1" applyBorder="1"/>
    <xf numFmtId="173" fontId="83" fillId="0" borderId="0" xfId="3" applyNumberFormat="1" applyFont="1" applyFill="1" applyBorder="1" applyAlignment="1">
      <alignment horizontal="right" vertical="center"/>
    </xf>
    <xf numFmtId="0" fontId="63" fillId="40" borderId="64" xfId="0" applyFont="1" applyFill="1" applyBorder="1" applyAlignment="1">
      <alignment horizontal="center" vertical="center"/>
    </xf>
    <xf numFmtId="0" fontId="63" fillId="40" borderId="68" xfId="0" applyFont="1" applyFill="1" applyBorder="1" applyAlignment="1">
      <alignment horizontal="center" vertical="center"/>
    </xf>
    <xf numFmtId="17" fontId="63" fillId="40" borderId="45" xfId="0" quotePrefix="1" applyNumberFormat="1" applyFont="1" applyFill="1" applyBorder="1" applyAlignment="1">
      <alignment horizontal="center" vertical="center"/>
    </xf>
    <xf numFmtId="17" fontId="63" fillId="40" borderId="69" xfId="0" applyNumberFormat="1" applyFont="1" applyFill="1" applyBorder="1" applyAlignment="1">
      <alignment horizontal="center" vertical="center"/>
    </xf>
    <xf numFmtId="0" fontId="88" fillId="0" borderId="36" xfId="0" applyFont="1" applyBorder="1" applyAlignment="1">
      <alignment vertical="center" wrapText="1"/>
    </xf>
    <xf numFmtId="181" fontId="62" fillId="2" borderId="36" xfId="6" applyNumberFormat="1" applyFont="1" applyFill="1" applyBorder="1" applyAlignment="1">
      <alignment horizontal="center" vertical="center"/>
    </xf>
    <xf numFmtId="181" fontId="62" fillId="0" borderId="36" xfId="6" applyNumberFormat="1" applyFont="1" applyFill="1" applyBorder="1" applyAlignment="1">
      <alignment horizontal="center" vertical="center"/>
    </xf>
    <xf numFmtId="0" fontId="92" fillId="0" borderId="36" xfId="0" applyFont="1" applyBorder="1" applyAlignment="1">
      <alignment vertical="center" wrapText="1"/>
    </xf>
    <xf numFmtId="3" fontId="0" fillId="0" borderId="36" xfId="0" applyNumberFormat="1" applyFont="1" applyBorder="1"/>
    <xf numFmtId="17" fontId="63" fillId="40" borderId="36" xfId="0" quotePrefix="1" applyNumberFormat="1" applyFont="1" applyFill="1" applyBorder="1" applyAlignment="1">
      <alignment horizontal="center" vertical="center"/>
    </xf>
    <xf numFmtId="17" fontId="63" fillId="40" borderId="36" xfId="0" applyNumberFormat="1" applyFont="1" applyFill="1" applyBorder="1" applyAlignment="1">
      <alignment horizontal="center" vertical="center"/>
    </xf>
    <xf numFmtId="0" fontId="93" fillId="0" borderId="0" xfId="0" applyFont="1"/>
    <xf numFmtId="17" fontId="63" fillId="40" borderId="70" xfId="0" quotePrefix="1" applyNumberFormat="1" applyFont="1" applyFill="1" applyBorder="1" applyAlignment="1">
      <alignment horizontal="center" vertical="center"/>
    </xf>
    <xf numFmtId="173" fontId="85" fillId="0" borderId="36" xfId="74" applyNumberFormat="1" applyFont="1" applyFill="1" applyBorder="1" applyAlignment="1">
      <alignment horizontal="center" vertical="center"/>
    </xf>
    <xf numFmtId="181" fontId="94" fillId="0" borderId="36" xfId="6" applyNumberFormat="1" applyFont="1" applyFill="1" applyBorder="1" applyAlignment="1">
      <alignment horizontal="center" vertical="center"/>
    </xf>
    <xf numFmtId="3" fontId="62" fillId="0" borderId="36" xfId="6" applyNumberFormat="1" applyFont="1" applyFill="1" applyBorder="1" applyAlignment="1">
      <alignment horizontal="center" vertical="center"/>
    </xf>
    <xf numFmtId="3" fontId="1" fillId="41" borderId="36" xfId="0" applyNumberFormat="1" applyFont="1" applyFill="1" applyBorder="1"/>
    <xf numFmtId="173" fontId="86" fillId="0" borderId="36" xfId="3" applyNumberFormat="1" applyFont="1" applyFill="1" applyBorder="1" applyAlignment="1">
      <alignment horizontal="center" vertical="center"/>
    </xf>
    <xf numFmtId="3" fontId="59" fillId="2" borderId="0" xfId="0" applyNumberFormat="1" applyFont="1" applyFill="1" applyBorder="1"/>
    <xf numFmtId="173" fontId="95" fillId="0" borderId="0" xfId="74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/>
    </xf>
    <xf numFmtId="3" fontId="97" fillId="0" borderId="74" xfId="0" applyNumberFormat="1" applyFont="1" applyBorder="1" applyAlignment="1">
      <alignment horizontal="center"/>
    </xf>
    <xf numFmtId="3" fontId="97" fillId="0" borderId="74" xfId="0" quotePrefix="1" applyNumberFormat="1" applyFont="1" applyBorder="1" applyAlignment="1">
      <alignment horizontal="center"/>
    </xf>
    <xf numFmtId="3" fontId="97" fillId="0" borderId="0" xfId="0" applyNumberFormat="1" applyFont="1" applyBorder="1" applyAlignment="1">
      <alignment horizontal="center"/>
    </xf>
    <xf numFmtId="0" fontId="0" fillId="0" borderId="75" xfId="0" applyBorder="1" applyAlignment="1">
      <alignment horizontal="left"/>
    </xf>
    <xf numFmtId="173" fontId="98" fillId="0" borderId="74" xfId="74" applyNumberFormat="1" applyFont="1" applyFill="1" applyBorder="1" applyAlignment="1">
      <alignment horizontal="right" vertical="center"/>
    </xf>
    <xf numFmtId="0" fontId="0" fillId="0" borderId="76" xfId="0" applyBorder="1" applyAlignment="1">
      <alignment horizontal="left"/>
    </xf>
    <xf numFmtId="173" fontId="99" fillId="0" borderId="74" xfId="74" applyNumberFormat="1" applyFont="1" applyFill="1" applyBorder="1" applyAlignment="1">
      <alignment horizontal="right" vertical="center"/>
    </xf>
    <xf numFmtId="173" fontId="85" fillId="0" borderId="74" xfId="74" applyNumberFormat="1" applyFont="1" applyFill="1" applyBorder="1" applyAlignment="1">
      <alignment horizontal="right" vertical="center"/>
    </xf>
    <xf numFmtId="3" fontId="66" fillId="0" borderId="0" xfId="0" applyNumberFormat="1" applyFont="1" applyFill="1" applyBorder="1"/>
    <xf numFmtId="0" fontId="0" fillId="0" borderId="74" xfId="0" applyBorder="1" applyAlignment="1">
      <alignment horizontal="left"/>
    </xf>
    <xf numFmtId="3" fontId="97" fillId="0" borderId="77" xfId="0" applyNumberFormat="1" applyFont="1" applyBorder="1"/>
    <xf numFmtId="3" fontId="97" fillId="0" borderId="74" xfId="0" applyNumberFormat="1" applyFont="1" applyBorder="1"/>
    <xf numFmtId="181" fontId="63" fillId="0" borderId="0" xfId="6" applyNumberFormat="1" applyFont="1" applyFill="1" applyBorder="1" applyAlignment="1">
      <alignment vertical="center" wrapText="1"/>
    </xf>
    <xf numFmtId="0" fontId="100" fillId="0" borderId="0" xfId="0" applyFont="1" applyBorder="1" applyAlignment="1">
      <alignment vertical="center"/>
    </xf>
    <xf numFmtId="181" fontId="9" fillId="0" borderId="0" xfId="3" applyNumberFormat="1" applyFont="1" applyBorder="1" applyAlignment="1"/>
    <xf numFmtId="0" fontId="0" fillId="0" borderId="0" xfId="0" applyBorder="1" applyAlignment="1"/>
    <xf numFmtId="0" fontId="83" fillId="36" borderId="0" xfId="0" applyFont="1" applyFill="1" applyBorder="1" applyAlignment="1">
      <alignment vertical="center" wrapText="1"/>
    </xf>
    <xf numFmtId="3" fontId="83" fillId="36" borderId="0" xfId="0" applyNumberFormat="1" applyFont="1" applyFill="1" applyBorder="1" applyAlignment="1">
      <alignment vertical="center" wrapText="1"/>
    </xf>
    <xf numFmtId="180" fontId="83" fillId="36" borderId="0" xfId="0" applyNumberFormat="1" applyFont="1" applyFill="1" applyBorder="1" applyAlignment="1">
      <alignment vertical="center" wrapText="1"/>
    </xf>
    <xf numFmtId="2" fontId="60" fillId="0" borderId="0" xfId="0" applyNumberFormat="1" applyFont="1" applyAlignment="1">
      <alignment wrapText="1"/>
    </xf>
    <xf numFmtId="3" fontId="63" fillId="0" borderId="0" xfId="6" applyNumberFormat="1" applyFont="1" applyFill="1" applyBorder="1" applyAlignment="1">
      <alignment vertical="center" wrapText="1"/>
    </xf>
    <xf numFmtId="0" fontId="63" fillId="0" borderId="74" xfId="0" applyFont="1" applyBorder="1"/>
    <xf numFmtId="3" fontId="63" fillId="0" borderId="75" xfId="0" applyNumberFormat="1" applyFont="1" applyBorder="1" applyAlignment="1">
      <alignment horizontal="center"/>
    </xf>
    <xf numFmtId="0" fontId="63" fillId="0" borderId="78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 vertical="center"/>
    </xf>
    <xf numFmtId="167" fontId="0" fillId="0" borderId="0" xfId="0" applyNumberFormat="1"/>
    <xf numFmtId="0" fontId="83" fillId="36" borderId="0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 wrapText="1"/>
    </xf>
    <xf numFmtId="0" fontId="59" fillId="2" borderId="0" xfId="0" pivotButton="1" applyFont="1" applyFill="1" applyBorder="1"/>
    <xf numFmtId="3" fontId="59" fillId="2" borderId="0" xfId="0" pivotButton="1" applyNumberFormat="1" applyFont="1" applyFill="1" applyBorder="1"/>
    <xf numFmtId="3" fontId="63" fillId="0" borderId="0" xfId="0" applyNumberFormat="1" applyFont="1"/>
    <xf numFmtId="0" fontId="63" fillId="37" borderId="74" xfId="0" applyFont="1" applyFill="1" applyBorder="1"/>
    <xf numFmtId="3" fontId="63" fillId="37" borderId="74" xfId="0" applyNumberFormat="1" applyFont="1" applyFill="1" applyBorder="1" applyAlignment="1">
      <alignment horizontal="center"/>
    </xf>
    <xf numFmtId="0" fontId="63" fillId="0" borderId="74" xfId="0" applyFont="1" applyBorder="1" applyAlignment="1">
      <alignment horizontal="center"/>
    </xf>
    <xf numFmtId="3" fontId="63" fillId="0" borderId="74" xfId="0" applyNumberFormat="1" applyFont="1" applyBorder="1" applyAlignment="1">
      <alignment horizontal="center"/>
    </xf>
    <xf numFmtId="3" fontId="76" fillId="0" borderId="74" xfId="0" applyNumberFormat="1" applyFont="1" applyBorder="1" applyAlignment="1">
      <alignment horizontal="center"/>
    </xf>
    <xf numFmtId="0" fontId="1" fillId="0" borderId="39" xfId="0" applyFont="1" applyBorder="1"/>
    <xf numFmtId="0" fontId="1" fillId="2" borderId="39" xfId="0" applyFont="1" applyFill="1" applyBorder="1"/>
    <xf numFmtId="10" fontId="3" fillId="2" borderId="0" xfId="3" applyNumberFormat="1" applyFont="1" applyFill="1" applyAlignment="1">
      <alignment horizontal="left"/>
    </xf>
    <xf numFmtId="10" fontId="15" fillId="2" borderId="0" xfId="1" applyNumberFormat="1" applyFont="1">
      <alignment horizontal="left"/>
    </xf>
    <xf numFmtId="10" fontId="3" fillId="2" borderId="0" xfId="1" applyNumberFormat="1" applyFill="1">
      <alignment horizontal="left"/>
    </xf>
    <xf numFmtId="0" fontId="0" fillId="0" borderId="0" xfId="0" applyFill="1"/>
    <xf numFmtId="0" fontId="104" fillId="0" borderId="0" xfId="0" applyFont="1" applyAlignment="1">
      <alignment vertical="center"/>
    </xf>
    <xf numFmtId="0" fontId="104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84" fillId="42" borderId="0" xfId="0" applyFont="1" applyFill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3" fontId="105" fillId="0" borderId="79" xfId="0" applyNumberFormat="1" applyFont="1" applyBorder="1" applyAlignment="1">
      <alignment vertical="center" wrapText="1"/>
    </xf>
    <xf numFmtId="3" fontId="105" fillId="0" borderId="80" xfId="0" applyNumberFormat="1" applyFont="1" applyBorder="1" applyAlignment="1">
      <alignment vertical="center" wrapText="1"/>
    </xf>
    <xf numFmtId="0" fontId="20" fillId="0" borderId="81" xfId="0" applyFont="1" applyBorder="1" applyAlignment="1">
      <alignment horizontal="center" vertical="center"/>
    </xf>
    <xf numFmtId="0" fontId="0" fillId="0" borderId="56" xfId="0" applyBorder="1"/>
    <xf numFmtId="165" fontId="0" fillId="0" borderId="56" xfId="0" applyNumberFormat="1" applyBorder="1"/>
    <xf numFmtId="10" fontId="3" fillId="0" borderId="36" xfId="3" applyNumberFormat="1" applyFont="1" applyBorder="1" applyAlignment="1">
      <alignment horizontal="right"/>
    </xf>
    <xf numFmtId="0" fontId="0" fillId="0" borderId="55" xfId="0" applyBorder="1"/>
    <xf numFmtId="165" fontId="0" fillId="0" borderId="55" xfId="0" applyNumberFormat="1" applyBorder="1"/>
    <xf numFmtId="0" fontId="0" fillId="0" borderId="82" xfId="0" applyBorder="1"/>
    <xf numFmtId="0" fontId="106" fillId="45" borderId="82" xfId="0" applyFont="1" applyFill="1" applyBorder="1" applyAlignment="1">
      <alignment horizontal="center"/>
    </xf>
    <xf numFmtId="3" fontId="107" fillId="45" borderId="82" xfId="0" applyNumberFormat="1" applyFont="1" applyFill="1" applyBorder="1" applyAlignment="1">
      <alignment vertical="center" wrapText="1"/>
    </xf>
    <xf numFmtId="0" fontId="108" fillId="0" borderId="83" xfId="0" applyFont="1" applyBorder="1" applyAlignment="1">
      <alignment horizontal="center" vertical="center"/>
    </xf>
    <xf numFmtId="3" fontId="107" fillId="0" borderId="81" xfId="0" applyNumberFormat="1" applyFont="1" applyBorder="1" applyAlignment="1">
      <alignment vertical="center" wrapText="1"/>
    </xf>
    <xf numFmtId="3" fontId="107" fillId="0" borderId="84" xfId="0" applyNumberFormat="1" applyFont="1" applyBorder="1" applyAlignment="1">
      <alignment vertical="center" wrapText="1"/>
    </xf>
    <xf numFmtId="0" fontId="108" fillId="0" borderId="0" xfId="0" applyFont="1" applyBorder="1" applyAlignment="1">
      <alignment horizontal="center" vertical="center"/>
    </xf>
    <xf numFmtId="3" fontId="107" fillId="0" borderId="0" xfId="0" applyNumberFormat="1" applyFont="1" applyBorder="1" applyAlignment="1">
      <alignment vertical="center" wrapText="1"/>
    </xf>
    <xf numFmtId="0" fontId="108" fillId="0" borderId="79" xfId="0" applyFont="1" applyFill="1" applyBorder="1" applyAlignment="1">
      <alignment horizontal="center" vertical="center"/>
    </xf>
    <xf numFmtId="0" fontId="109" fillId="0" borderId="81" xfId="0" applyFont="1" applyFill="1" applyBorder="1" applyAlignment="1">
      <alignment horizontal="center" vertical="center"/>
    </xf>
    <xf numFmtId="10" fontId="110" fillId="0" borderId="81" xfId="0" applyNumberFormat="1" applyFont="1" applyFill="1" applyBorder="1" applyAlignment="1">
      <alignment horizontal="right" vertical="center" wrapText="1"/>
    </xf>
    <xf numFmtId="10" fontId="110" fillId="0" borderId="85" xfId="0" applyNumberFormat="1" applyFont="1" applyFill="1" applyBorder="1" applyAlignment="1">
      <alignment horizontal="right" vertical="center" wrapText="1"/>
    </xf>
    <xf numFmtId="3" fontId="111" fillId="0" borderId="84" xfId="0" applyNumberFormat="1" applyFont="1" applyFill="1" applyBorder="1"/>
    <xf numFmtId="183" fontId="0" fillId="0" borderId="57" xfId="0" applyNumberFormat="1" applyBorder="1"/>
    <xf numFmtId="0" fontId="88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83" fontId="0" fillId="0" borderId="58" xfId="0" applyNumberFormat="1" applyBorder="1"/>
    <xf numFmtId="0" fontId="112" fillId="2" borderId="0" xfId="0" applyFont="1" applyFill="1" applyBorder="1" applyAlignment="1">
      <alignment vertical="top" wrapText="1"/>
    </xf>
    <xf numFmtId="2" fontId="9" fillId="36" borderId="87" xfId="0" applyNumberFormat="1" applyFont="1" applyFill="1" applyBorder="1" applyAlignment="1">
      <alignment horizontal="center" vertical="center" wrapText="1"/>
    </xf>
    <xf numFmtId="2" fontId="9" fillId="36" borderId="88" xfId="0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9" fontId="4" fillId="0" borderId="35" xfId="3" applyFont="1" applyBorder="1" applyAlignment="1">
      <alignment vertical="center" wrapText="1"/>
    </xf>
    <xf numFmtId="9" fontId="4" fillId="0" borderId="33" xfId="3" applyFont="1" applyBorder="1" applyAlignment="1">
      <alignment vertical="center" wrapText="1"/>
    </xf>
    <xf numFmtId="173" fontId="4" fillId="0" borderId="33" xfId="3" applyNumberFormat="1" applyFont="1" applyBorder="1" applyAlignment="1">
      <alignment vertical="center" wrapText="1"/>
    </xf>
    <xf numFmtId="10" fontId="4" fillId="0" borderId="33" xfId="3" applyNumberFormat="1" applyFont="1" applyBorder="1" applyAlignment="1">
      <alignment vertical="center" wrapText="1"/>
    </xf>
    <xf numFmtId="10" fontId="4" fillId="0" borderId="32" xfId="3" applyNumberFormat="1" applyFont="1" applyBorder="1" applyAlignment="1">
      <alignment vertical="center" wrapText="1"/>
    </xf>
    <xf numFmtId="9" fontId="4" fillId="0" borderId="36" xfId="3" applyFont="1" applyBorder="1" applyAlignment="1">
      <alignment vertical="center" wrapText="1"/>
    </xf>
    <xf numFmtId="3" fontId="119" fillId="0" borderId="89" xfId="0" applyNumberFormat="1" applyFont="1" applyBorder="1" applyAlignment="1">
      <alignment horizontal="left" vertical="center"/>
    </xf>
    <xf numFmtId="3" fontId="16" fillId="0" borderId="89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17" fillId="0" borderId="90" xfId="0" applyFont="1" applyBorder="1" applyAlignment="1">
      <alignment horizontal="center" vertical="center" wrapText="1"/>
    </xf>
    <xf numFmtId="3" fontId="122" fillId="0" borderId="94" xfId="0" applyNumberFormat="1" applyFont="1" applyBorder="1" applyAlignment="1">
      <alignment vertical="center" wrapText="1"/>
    </xf>
    <xf numFmtId="3" fontId="122" fillId="0" borderId="93" xfId="0" applyNumberFormat="1" applyFont="1" applyBorder="1" applyAlignment="1">
      <alignment vertical="center" wrapText="1"/>
    </xf>
    <xf numFmtId="181" fontId="59" fillId="2" borderId="0" xfId="0" applyNumberFormat="1" applyFont="1" applyFill="1" applyBorder="1"/>
    <xf numFmtId="181" fontId="84" fillId="2" borderId="0" xfId="3" applyNumberFormat="1" applyFont="1" applyFill="1" applyBorder="1"/>
    <xf numFmtId="181" fontId="63" fillId="0" borderId="36" xfId="6" applyNumberFormat="1" applyFont="1" applyFill="1" applyBorder="1" applyAlignment="1">
      <alignment vertical="center" wrapText="1"/>
    </xf>
    <xf numFmtId="181" fontId="63" fillId="0" borderId="36" xfId="6" applyNumberFormat="1" applyFont="1" applyBorder="1" applyAlignment="1">
      <alignment vertical="center"/>
    </xf>
    <xf numFmtId="0" fontId="0" fillId="2" borderId="0" xfId="0" applyFill="1" applyBorder="1"/>
    <xf numFmtId="0" fontId="68" fillId="2" borderId="0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left"/>
    </xf>
    <xf numFmtId="43" fontId="3" fillId="2" borderId="0" xfId="1" applyNumberFormat="1">
      <alignment horizontal="left"/>
    </xf>
    <xf numFmtId="10" fontId="2" fillId="30" borderId="0" xfId="3" applyNumberFormat="1" applyFont="1" applyFill="1" applyBorder="1" applyAlignment="1">
      <alignment horizontal="center"/>
    </xf>
    <xf numFmtId="3" fontId="16" fillId="2" borderId="4" xfId="1" applyNumberFormat="1" applyFont="1" applyFill="1" applyBorder="1" applyAlignment="1">
      <alignment horizontal="center"/>
    </xf>
    <xf numFmtId="3" fontId="16" fillId="2" borderId="41" xfId="1" applyNumberFormat="1" applyFont="1" applyFill="1" applyBorder="1" applyAlignment="1">
      <alignment horizontal="center"/>
    </xf>
    <xf numFmtId="3" fontId="16" fillId="2" borderId="5" xfId="1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47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37" borderId="0" xfId="0" applyFont="1" applyFill="1" applyBorder="1" applyAlignment="1">
      <alignment horizontal="center"/>
    </xf>
    <xf numFmtId="0" fontId="123" fillId="2" borderId="0" xfId="0" applyFont="1" applyFill="1" applyBorder="1" applyAlignment="1">
      <alignment horizontal="center" vertical="center"/>
    </xf>
    <xf numFmtId="0" fontId="65" fillId="36" borderId="0" xfId="0" applyFont="1" applyFill="1" applyAlignment="1">
      <alignment horizontal="center" vertical="center"/>
    </xf>
    <xf numFmtId="0" fontId="69" fillId="38" borderId="59" xfId="0" quotePrefix="1" applyFont="1" applyFill="1" applyBorder="1" applyAlignment="1">
      <alignment horizontal="center" vertical="center" wrapText="1"/>
    </xf>
    <xf numFmtId="0" fontId="69" fillId="38" borderId="39" xfId="0" quotePrefix="1" applyFont="1" applyFill="1" applyBorder="1" applyAlignment="1">
      <alignment horizontal="center" vertical="center" wrapText="1"/>
    </xf>
    <xf numFmtId="0" fontId="69" fillId="38" borderId="19" xfId="0" quotePrefix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17" fontId="83" fillId="40" borderId="4" xfId="0" applyNumberFormat="1" applyFont="1" applyFill="1" applyBorder="1" applyAlignment="1">
      <alignment horizontal="center" vertical="center" wrapText="1"/>
    </xf>
    <xf numFmtId="17" fontId="83" fillId="40" borderId="41" xfId="0" applyNumberFormat="1" applyFont="1" applyFill="1" applyBorder="1" applyAlignment="1">
      <alignment horizontal="center" vertical="center" wrapText="1"/>
    </xf>
    <xf numFmtId="17" fontId="83" fillId="40" borderId="5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 horizontal="center" wrapText="1"/>
    </xf>
    <xf numFmtId="0" fontId="83" fillId="36" borderId="0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 vertical="center"/>
    </xf>
    <xf numFmtId="0" fontId="92" fillId="0" borderId="0" xfId="0" applyFont="1" applyBorder="1" applyAlignment="1">
      <alignment horizontal="center"/>
    </xf>
    <xf numFmtId="0" fontId="62" fillId="36" borderId="0" xfId="0" applyFont="1" applyFill="1" applyAlignment="1">
      <alignment wrapText="1"/>
    </xf>
    <xf numFmtId="0" fontId="62" fillId="0" borderId="0" xfId="0" applyFont="1" applyAlignment="1">
      <alignment wrapText="1"/>
    </xf>
    <xf numFmtId="0" fontId="92" fillId="35" borderId="0" xfId="0" applyFont="1" applyFill="1" applyAlignment="1">
      <alignment horizontal="center" vertical="center"/>
    </xf>
    <xf numFmtId="0" fontId="92" fillId="0" borderId="71" xfId="0" applyFont="1" applyBorder="1" applyAlignment="1">
      <alignment horizontal="center" vertical="center"/>
    </xf>
    <xf numFmtId="0" fontId="92" fillId="0" borderId="72" xfId="0" applyFont="1" applyBorder="1" applyAlignment="1">
      <alignment horizontal="center" vertical="center"/>
    </xf>
    <xf numFmtId="0" fontId="92" fillId="0" borderId="73" xfId="0" applyFont="1" applyBorder="1" applyAlignment="1">
      <alignment horizontal="center" vertical="center"/>
    </xf>
    <xf numFmtId="0" fontId="63" fillId="40" borderId="64" xfId="0" applyFont="1" applyFill="1" applyBorder="1" applyAlignment="1">
      <alignment horizontal="center" vertical="center"/>
    </xf>
    <xf numFmtId="0" fontId="63" fillId="40" borderId="68" xfId="0" applyFont="1" applyFill="1" applyBorder="1" applyAlignment="1">
      <alignment horizontal="center" vertical="center"/>
    </xf>
    <xf numFmtId="0" fontId="63" fillId="40" borderId="65" xfId="0" applyFont="1" applyFill="1" applyBorder="1" applyAlignment="1">
      <alignment horizontal="center" vertical="center"/>
    </xf>
    <xf numFmtId="0" fontId="63" fillId="40" borderId="66" xfId="0" applyFont="1" applyFill="1" applyBorder="1" applyAlignment="1">
      <alignment horizontal="center" vertical="center"/>
    </xf>
    <xf numFmtId="0" fontId="63" fillId="40" borderId="67" xfId="0" applyFont="1" applyFill="1" applyBorder="1" applyAlignment="1">
      <alignment horizontal="center" vertical="center"/>
    </xf>
    <xf numFmtId="0" fontId="92" fillId="36" borderId="0" xfId="0" applyFont="1" applyFill="1" applyAlignment="1">
      <alignment horizontal="center" vertical="center"/>
    </xf>
    <xf numFmtId="0" fontId="63" fillId="40" borderId="36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04" fillId="0" borderId="0" xfId="0" applyFont="1" applyAlignment="1">
      <alignment horizontal="center" vertical="center" wrapText="1"/>
    </xf>
    <xf numFmtId="0" fontId="101" fillId="42" borderId="0" xfId="0" applyFont="1" applyFill="1" applyAlignment="1">
      <alignment horizontal="left" vertical="center" wrapText="1"/>
    </xf>
    <xf numFmtId="0" fontId="102" fillId="43" borderId="0" xfId="0" applyFont="1" applyFill="1" applyAlignment="1">
      <alignment horizontal="center" vertical="center" wrapText="1"/>
    </xf>
    <xf numFmtId="0" fontId="103" fillId="44" borderId="0" xfId="0" applyFont="1" applyFill="1" applyAlignment="1">
      <alignment horizontal="center" vertical="center" wrapText="1"/>
    </xf>
    <xf numFmtId="0" fontId="104" fillId="0" borderId="0" xfId="0" applyFont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12" fillId="46" borderId="0" xfId="0" applyFont="1" applyFill="1" applyBorder="1" applyAlignment="1">
      <alignment horizontal="left" vertical="top" wrapText="1"/>
    </xf>
    <xf numFmtId="0" fontId="88" fillId="46" borderId="0" xfId="0" applyFont="1" applyFill="1" applyBorder="1" applyAlignment="1">
      <alignment horizontal="left" vertical="center"/>
    </xf>
    <xf numFmtId="0" fontId="8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12" fillId="48" borderId="0" xfId="0" applyFont="1" applyFill="1" applyBorder="1" applyAlignment="1">
      <alignment horizontal="left" vertical="top" wrapText="1"/>
    </xf>
    <xf numFmtId="0" fontId="88" fillId="48" borderId="0" xfId="0" applyFont="1" applyFill="1" applyBorder="1" applyAlignment="1">
      <alignment horizontal="left" vertical="top" wrapText="1"/>
    </xf>
    <xf numFmtId="0" fontId="101" fillId="42" borderId="0" xfId="0" applyFont="1" applyFill="1" applyAlignment="1">
      <alignment horizontal="center" vertical="center" wrapText="1"/>
    </xf>
    <xf numFmtId="0" fontId="114" fillId="47" borderId="0" xfId="0" applyFont="1" applyFill="1" applyAlignment="1">
      <alignment horizontal="left" vertical="center" wrapText="1"/>
    </xf>
    <xf numFmtId="0" fontId="116" fillId="47" borderId="0" xfId="0" applyFont="1" applyFill="1" applyAlignment="1">
      <alignment horizontal="left" vertical="center" wrapText="1"/>
    </xf>
    <xf numFmtId="0" fontId="117" fillId="0" borderId="86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7" fillId="0" borderId="90" xfId="0" applyFont="1" applyBorder="1" applyAlignment="1">
      <alignment horizontal="center" vertical="center" wrapText="1"/>
    </xf>
    <xf numFmtId="0" fontId="117" fillId="0" borderId="91" xfId="0" applyFont="1" applyBorder="1" applyAlignment="1">
      <alignment horizontal="center" vertical="center" wrapText="1"/>
    </xf>
    <xf numFmtId="0" fontId="117" fillId="0" borderId="92" xfId="0" applyFont="1" applyBorder="1" applyAlignment="1">
      <alignment horizontal="center" vertical="center" wrapText="1"/>
    </xf>
    <xf numFmtId="0" fontId="117" fillId="0" borderId="93" xfId="0" applyFont="1" applyBorder="1" applyAlignment="1">
      <alignment horizontal="center" vertical="center" wrapText="1"/>
    </xf>
  </cellXfs>
  <cellStyles count="113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6">
    <dxf>
      <font>
        <color theme="0"/>
      </font>
    </dxf>
    <dxf>
      <fill>
        <patternFill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B6DAB4"/>
      <color rgb="FF167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LAS INVERSIONES POR RUBRO (AL MES DE ABRIL 2017)</a:t>
            </a:r>
            <a:endParaRPr lang="es-PE"/>
          </a:p>
        </c:rich>
      </c:tx>
      <c:overlay val="1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260467032224948E-2"/>
          <c:y val="0.13373497413616298"/>
          <c:w val="0.84551926609221795"/>
          <c:h val="0.806862214557056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'[1]INVERSIONES 1'!$O$38:$U$38</c:f>
              <c:numCache>
                <c:formatCode>General</c:formatCode>
                <c:ptCount val="7"/>
              </c:numCache>
            </c:numRef>
          </c:cat>
          <c:val>
            <c:numRef>
              <c:f>'[1]INVERSIONES 1'!$O$39:$U$39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PE">
                <a:solidFill>
                  <a:schemeClr val="lt1"/>
                </a:solidFill>
                <a:latin typeface="+mn-lt"/>
                <a:ea typeface="+mn-ea"/>
                <a:cs typeface="+mn-cs"/>
              </a:rPr>
              <a:t>INVERSIÓN MINERA AL MES DE ABRIL POR RUBRO  </a:t>
            </a:r>
          </a:p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PE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COMPARATIVO AÑOS  2015, 2016 Y 2017  </a:t>
            </a:r>
            <a:endParaRPr lang="es-PE"/>
          </a:p>
        </c:rich>
      </c:tx>
      <c:layout>
        <c:manualLayout>
          <c:xMode val="edge"/>
          <c:yMode val="edge"/>
          <c:x val="0.2578885513326582"/>
          <c:y val="3.4536024956215036E-2"/>
        </c:manualLayout>
      </c:layout>
      <c:overlay val="1"/>
      <c:spPr>
        <a:solidFill>
          <a:schemeClr val="accent1"/>
        </a:solidFill>
        <a:ln w="25400" cap="flat" cmpd="sng" algn="ctr">
          <a:solidFill>
            <a:schemeClr val="accent1">
              <a:shade val="50000"/>
            </a:schemeClr>
          </a:solidFill>
          <a:prstDash val="solid"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'[1]INVERSIONES 1'!$P$90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1'!$O$91:$O$97</c:f>
              <c:strCache>
                <c:ptCount val="7"/>
                <c:pt idx="0">
                  <c:v>EQ. DE PLANTA DE BENEFICIO</c:v>
                </c:pt>
                <c:pt idx="1">
                  <c:v>EQ.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1'!$P$91:$P$97</c:f>
              <c:numCache>
                <c:formatCode>General</c:formatCode>
                <c:ptCount val="7"/>
                <c:pt idx="0">
                  <c:v>153</c:v>
                </c:pt>
                <c:pt idx="1">
                  <c:v>191</c:v>
                </c:pt>
                <c:pt idx="2">
                  <c:v>156</c:v>
                </c:pt>
                <c:pt idx="3">
                  <c:v>249</c:v>
                </c:pt>
                <c:pt idx="4">
                  <c:v>318</c:v>
                </c:pt>
                <c:pt idx="5">
                  <c:v>1256</c:v>
                </c:pt>
                <c:pt idx="6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'[1]INVERSIONES 1'!$Q$90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1'!$O$91:$O$97</c:f>
              <c:strCache>
                <c:ptCount val="7"/>
                <c:pt idx="0">
                  <c:v>EQ. DE PLANTA DE BENEFICIO</c:v>
                </c:pt>
                <c:pt idx="1">
                  <c:v>EQ.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1'!$Q$91:$Q$97</c:f>
              <c:numCache>
                <c:formatCode>General</c:formatCode>
                <c:ptCount val="7"/>
                <c:pt idx="0">
                  <c:v>85</c:v>
                </c:pt>
                <c:pt idx="1">
                  <c:v>118</c:v>
                </c:pt>
                <c:pt idx="2">
                  <c:v>100</c:v>
                </c:pt>
                <c:pt idx="3">
                  <c:v>263</c:v>
                </c:pt>
                <c:pt idx="4">
                  <c:v>273</c:v>
                </c:pt>
                <c:pt idx="5">
                  <c:v>379</c:v>
                </c:pt>
                <c:pt idx="6">
                  <c:v>112</c:v>
                </c:pt>
              </c:numCache>
            </c:numRef>
          </c:val>
        </c:ser>
        <c:ser>
          <c:idx val="2"/>
          <c:order val="2"/>
          <c:tx>
            <c:strRef>
              <c:f>'[1]INVERSIONES 1'!$R$90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'[1]INVERSIONES 1'!$O$91:$O$97</c:f>
              <c:strCache>
                <c:ptCount val="7"/>
                <c:pt idx="0">
                  <c:v>EQ. DE PLANTA DE BENEFICIO</c:v>
                </c:pt>
                <c:pt idx="1">
                  <c:v>EQ. MINERO</c:v>
                </c:pt>
                <c:pt idx="2">
                  <c:v>EXPLORACIÓN</c:v>
                </c:pt>
                <c:pt idx="3">
                  <c:v>EXPLOTACIÓN</c:v>
                </c:pt>
                <c:pt idx="4">
                  <c:v>INFRAESTRUCTURA</c:v>
                </c:pt>
                <c:pt idx="5">
                  <c:v>OTROS</c:v>
                </c:pt>
                <c:pt idx="6">
                  <c:v>PREPARACIÓN</c:v>
                </c:pt>
              </c:strCache>
            </c:strRef>
          </c:cat>
          <c:val>
            <c:numRef>
              <c:f>'[1]INVERSIONES 1'!$R$91:$R$97</c:f>
              <c:numCache>
                <c:formatCode>General</c:formatCode>
                <c:ptCount val="7"/>
                <c:pt idx="0">
                  <c:v>111</c:v>
                </c:pt>
                <c:pt idx="1">
                  <c:v>99</c:v>
                </c:pt>
                <c:pt idx="2">
                  <c:v>114</c:v>
                </c:pt>
                <c:pt idx="3">
                  <c:v>299</c:v>
                </c:pt>
                <c:pt idx="4">
                  <c:v>274</c:v>
                </c:pt>
                <c:pt idx="5">
                  <c:v>150</c:v>
                </c:pt>
                <c:pt idx="6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22688"/>
        <c:axId val="126029824"/>
        <c:axId val="0"/>
      </c:bar3DChart>
      <c:catAx>
        <c:axId val="1239226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26029824"/>
        <c:crosses val="autoZero"/>
        <c:auto val="1"/>
        <c:lblAlgn val="ctr"/>
        <c:lblOffset val="100"/>
        <c:noMultiLvlLbl val="0"/>
      </c:catAx>
      <c:valAx>
        <c:axId val="12602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22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'[3]INVERSIONES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'[3]INVERSIONES 4'!$C$44:$M$44</c:f>
              <c:numCache>
                <c:formatCode>General</c:formatCode>
                <c:ptCount val="11"/>
                <c:pt idx="0">
                  <c:v>390</c:v>
                </c:pt>
                <c:pt idx="1">
                  <c:v>516</c:v>
                </c:pt>
                <c:pt idx="2">
                  <c:v>574</c:v>
                </c:pt>
                <c:pt idx="3">
                  <c:v>1048</c:v>
                </c:pt>
                <c:pt idx="4">
                  <c:v>1580</c:v>
                </c:pt>
                <c:pt idx="5">
                  <c:v>2195</c:v>
                </c:pt>
                <c:pt idx="6">
                  <c:v>2734</c:v>
                </c:pt>
                <c:pt idx="7">
                  <c:v>2817</c:v>
                </c:pt>
                <c:pt idx="8">
                  <c:v>2433</c:v>
                </c:pt>
                <c:pt idx="9">
                  <c:v>1331.672</c:v>
                </c:pt>
                <c:pt idx="10">
                  <c:v>1179.8230000000001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861888"/>
        <c:axId val="129863680"/>
        <c:axId val="0"/>
      </c:bar3DChart>
      <c:catAx>
        <c:axId val="1298618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129863680"/>
        <c:crosses val="autoZero"/>
        <c:auto val="1"/>
        <c:lblAlgn val="ctr"/>
        <c:lblOffset val="100"/>
        <c:noMultiLvlLbl val="0"/>
      </c:catAx>
      <c:valAx>
        <c:axId val="12986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MILLONES DE US$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986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Millones de US $</a:t>
            </a:r>
            <a:endParaRPr lang="es-PE"/>
          </a:p>
        </c:rich>
      </c:tx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'[3]INVERSIONES 4'!$C$44:$M$44</c:f>
              <c:numCache>
                <c:formatCode>General</c:formatCode>
                <c:ptCount val="11"/>
                <c:pt idx="0">
                  <c:v>390</c:v>
                </c:pt>
                <c:pt idx="1">
                  <c:v>516</c:v>
                </c:pt>
                <c:pt idx="2">
                  <c:v>574</c:v>
                </c:pt>
                <c:pt idx="3">
                  <c:v>1048</c:v>
                </c:pt>
                <c:pt idx="4">
                  <c:v>1580</c:v>
                </c:pt>
                <c:pt idx="5">
                  <c:v>2195</c:v>
                </c:pt>
                <c:pt idx="6">
                  <c:v>2734</c:v>
                </c:pt>
                <c:pt idx="7">
                  <c:v>2817</c:v>
                </c:pt>
                <c:pt idx="8">
                  <c:v>2433</c:v>
                </c:pt>
                <c:pt idx="9">
                  <c:v>1331.672</c:v>
                </c:pt>
                <c:pt idx="10">
                  <c:v>1179.8230000000001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84160"/>
        <c:axId val="129885696"/>
      </c:lineChart>
      <c:catAx>
        <c:axId val="1298841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29885696"/>
        <c:crosses val="autoZero"/>
        <c:auto val="1"/>
        <c:lblAlgn val="ctr"/>
        <c:lblOffset val="100"/>
        <c:noMultiLvlLbl val="0"/>
      </c:catAx>
      <c:valAx>
        <c:axId val="12988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884160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'[3]INVERSIONES 5'!$C$10</c:f>
              <c:strCache>
                <c:ptCount val="1"/>
                <c:pt idx="0">
                  <c:v>Millones de US $</c:v>
                </c:pt>
              </c:strCache>
            </c:strRef>
          </c:tx>
          <c:invertIfNegative val="0"/>
          <c:dLbls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'[3]INVERSIONES 5'!$D$9:$P$9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2015(p)</c:v>
                </c:pt>
                <c:pt idx="11">
                  <c:v>2016(p)</c:v>
                </c:pt>
                <c:pt idx="12">
                  <c:v>2017(p)</c:v>
                </c:pt>
              </c:strCache>
            </c:strRef>
          </c:cat>
          <c:val>
            <c:numRef>
              <c:f>'[3]INVERSIONES 5'!$D$10:$P$10</c:f>
              <c:numCache>
                <c:formatCode>General</c:formatCode>
                <c:ptCount val="13"/>
                <c:pt idx="0">
                  <c:v>1085.7331581600004</c:v>
                </c:pt>
                <c:pt idx="1">
                  <c:v>1609.9147206899995</c:v>
                </c:pt>
                <c:pt idx="2">
                  <c:v>1248.8157222100001</c:v>
                </c:pt>
                <c:pt idx="3">
                  <c:v>1708.05930629</c:v>
                </c:pt>
                <c:pt idx="4">
                  <c:v>2821.66178881</c:v>
                </c:pt>
                <c:pt idx="5">
                  <c:v>4069.4446639899998</c:v>
                </c:pt>
                <c:pt idx="6">
                  <c:v>7247.1225798100013</c:v>
                </c:pt>
                <c:pt idx="7">
                  <c:v>8503.5799538300016</c:v>
                </c:pt>
                <c:pt idx="8">
                  <c:v>9940.4216068900005</c:v>
                </c:pt>
                <c:pt idx="9">
                  <c:v>8867.2108695199986</c:v>
                </c:pt>
                <c:pt idx="10">
                  <c:v>7616.8134082500001</c:v>
                </c:pt>
                <c:pt idx="11">
                  <c:v>4251.3892154399991</c:v>
                </c:pt>
                <c:pt idx="12">
                  <c:v>1179.8230000000001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48768"/>
        <c:axId val="130050304"/>
        <c:axId val="0"/>
      </c:bar3DChart>
      <c:catAx>
        <c:axId val="1300487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30050304"/>
        <c:crosses val="autoZero"/>
        <c:auto val="1"/>
        <c:lblAlgn val="ctr"/>
        <c:lblOffset val="100"/>
        <c:noMultiLvlLbl val="0"/>
      </c:catAx>
      <c:valAx>
        <c:axId val="13005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04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COMPARATIVO ANUAL EN EL MES DE ABRIL</a:t>
            </a:r>
          </a:p>
        </c:rich>
      </c:tx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'[4]2017_abril _EmpleoEnMinería1'!$Q$39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cat>
          <c:val>
            <c:numRef>
              <c:f>'[4]2017_abril _EmpleoEnMinería1'!$Q$40:$Q$51</c:f>
              <c:numCache>
                <c:formatCode>General</c:formatCode>
                <c:ptCount val="12"/>
                <c:pt idx="0">
                  <c:v>108493</c:v>
                </c:pt>
                <c:pt idx="1">
                  <c:v>134981</c:v>
                </c:pt>
                <c:pt idx="2">
                  <c:v>127026</c:v>
                </c:pt>
                <c:pt idx="3">
                  <c:v>126083</c:v>
                </c:pt>
                <c:pt idx="4">
                  <c:v>165531</c:v>
                </c:pt>
                <c:pt idx="5">
                  <c:v>173145</c:v>
                </c:pt>
                <c:pt idx="6">
                  <c:v>207771</c:v>
                </c:pt>
                <c:pt idx="7">
                  <c:v>208382</c:v>
                </c:pt>
                <c:pt idx="8">
                  <c:v>195361.33333333334</c:v>
                </c:pt>
                <c:pt idx="9">
                  <c:v>195704.81818181818</c:v>
                </c:pt>
                <c:pt idx="10">
                  <c:v>174126.41666666666</c:v>
                </c:pt>
                <c:pt idx="11">
                  <c:v>176607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41184"/>
        <c:axId val="130155264"/>
        <c:axId val="0"/>
      </c:bar3DChart>
      <c:catAx>
        <c:axId val="1301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155264"/>
        <c:crosses val="autoZero"/>
        <c:auto val="1"/>
        <c:lblAlgn val="ctr"/>
        <c:lblOffset val="100"/>
        <c:noMultiLvlLbl val="0"/>
      </c:catAx>
      <c:valAx>
        <c:axId val="130155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14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</a:rPr>
              <a:t>Distribución del Empleo Directo por Regiones Generado por la Actividad Minera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</a:rPr>
              <a:t>en el Mes de Abril de 2017</a:t>
            </a:r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'[4]2017 abril-Per.RegiónYAnual '!$B$8</c:f>
              <c:strCache>
                <c:ptCount val="1"/>
                <c:pt idx="0">
                  <c:v>Nro. de Trabajadores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abril-Per.RegiónYAnual '!$A$9:$A$31</c:f>
              <c:strCache>
                <c:ptCount val="23"/>
                <c:pt idx="0">
                  <c:v>AREQUIPA</c:v>
                </c:pt>
                <c:pt idx="1">
                  <c:v>LA LIBERTAD</c:v>
                </c:pt>
                <c:pt idx="2">
                  <c:v>JUNIN</c:v>
                </c:pt>
                <c:pt idx="3">
                  <c:v>PASCO</c:v>
                </c:pt>
                <c:pt idx="4">
                  <c:v>LIMA</c:v>
                </c:pt>
                <c:pt idx="5">
                  <c:v>CAJAMARCA</c:v>
                </c:pt>
                <c:pt idx="6">
                  <c:v>ANCASH</c:v>
                </c:pt>
                <c:pt idx="7">
                  <c:v>APURIMAC</c:v>
                </c:pt>
                <c:pt idx="8">
                  <c:v>CUSCO</c:v>
                </c:pt>
                <c:pt idx="9">
                  <c:v>MOQUEGUA</c:v>
                </c:pt>
                <c:pt idx="10">
                  <c:v>TACNA</c:v>
                </c:pt>
                <c:pt idx="11">
                  <c:v>ICA</c:v>
                </c:pt>
                <c:pt idx="12">
                  <c:v>AYACUCHO</c:v>
                </c:pt>
                <c:pt idx="13">
                  <c:v>PUNO</c:v>
                </c:pt>
                <c:pt idx="14">
                  <c:v>HUANCAVELICA</c:v>
                </c:pt>
                <c:pt idx="15">
                  <c:v>PIURA</c:v>
                </c:pt>
                <c:pt idx="16">
                  <c:v>HUANUCO</c:v>
                </c:pt>
                <c:pt idx="17">
                  <c:v>MADRE DE DIOS</c:v>
                </c:pt>
                <c:pt idx="18">
                  <c:v>LAMBAYEQUE</c:v>
                </c:pt>
                <c:pt idx="19">
                  <c:v>SAN MARTIN</c:v>
                </c:pt>
                <c:pt idx="20">
                  <c:v>CALLAO</c:v>
                </c:pt>
                <c:pt idx="21">
                  <c:v>AMAZONAS</c:v>
                </c:pt>
                <c:pt idx="22">
                  <c:v>LORETO</c:v>
                </c:pt>
              </c:strCache>
            </c:strRef>
          </c:cat>
          <c:val>
            <c:numRef>
              <c:f>'[4]2017 abril-Per.RegiónYAnual '!$B$9:$B$31</c:f>
              <c:numCache>
                <c:formatCode>General</c:formatCode>
                <c:ptCount val="23"/>
                <c:pt idx="0">
                  <c:v>28461</c:v>
                </c:pt>
                <c:pt idx="1">
                  <c:v>16579</c:v>
                </c:pt>
                <c:pt idx="2">
                  <c:v>16523</c:v>
                </c:pt>
                <c:pt idx="3">
                  <c:v>14229</c:v>
                </c:pt>
                <c:pt idx="4">
                  <c:v>14216</c:v>
                </c:pt>
                <c:pt idx="5">
                  <c:v>12507</c:v>
                </c:pt>
                <c:pt idx="6">
                  <c:v>11809</c:v>
                </c:pt>
                <c:pt idx="7">
                  <c:v>11701</c:v>
                </c:pt>
                <c:pt idx="8">
                  <c:v>7710</c:v>
                </c:pt>
                <c:pt idx="9">
                  <c:v>7690</c:v>
                </c:pt>
                <c:pt idx="10">
                  <c:v>7362</c:v>
                </c:pt>
                <c:pt idx="11">
                  <c:v>7293</c:v>
                </c:pt>
                <c:pt idx="12">
                  <c:v>6599</c:v>
                </c:pt>
                <c:pt idx="13">
                  <c:v>4986</c:v>
                </c:pt>
                <c:pt idx="14">
                  <c:v>3734</c:v>
                </c:pt>
                <c:pt idx="15">
                  <c:v>2409</c:v>
                </c:pt>
                <c:pt idx="16">
                  <c:v>1890</c:v>
                </c:pt>
                <c:pt idx="17">
                  <c:v>685</c:v>
                </c:pt>
                <c:pt idx="18">
                  <c:v>94</c:v>
                </c:pt>
                <c:pt idx="19">
                  <c:v>76</c:v>
                </c:pt>
                <c:pt idx="20">
                  <c:v>22</c:v>
                </c:pt>
                <c:pt idx="21">
                  <c:v>16</c:v>
                </c:pt>
                <c:pt idx="2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2432"/>
        <c:axId val="130243968"/>
        <c:axId val="0"/>
      </c:bar3DChart>
      <c:catAx>
        <c:axId val="13024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243968"/>
        <c:crosses val="autoZero"/>
        <c:auto val="1"/>
        <c:lblAlgn val="ctr"/>
        <c:lblOffset val="100"/>
        <c:noMultiLvlLbl val="0"/>
      </c:catAx>
      <c:valAx>
        <c:axId val="13024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Nro. de trabajadores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24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Comparativo Anual de Nro. de Trabajadores en el Mes de Abril</a:t>
            </a:r>
          </a:p>
        </c:rich>
      </c:tx>
      <c:overlay val="0"/>
      <c:spPr>
        <a:gradFill rotWithShape="1">
          <a:gsLst>
            <a:gs pos="0">
              <a:schemeClr val="accent6">
                <a:tint val="50000"/>
                <a:satMod val="300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sideWall>
    <c:backWall>
      <c:thickness val="0"/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'[4]2017 abril-Per.RegiónYAnual '!$A$42</c:f>
              <c:strCache>
                <c:ptCount val="1"/>
                <c:pt idx="0">
                  <c:v>Nro. de Trabajadores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abril-Per.RegiónYAnual '!$B$41:$M$41</c:f>
              <c:strCache>
                <c:ptCount val="12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 abril-Per.RegiónYAnual '!$B$42:$M$42</c:f>
              <c:numCache>
                <c:formatCode>General</c:formatCode>
                <c:ptCount val="12"/>
                <c:pt idx="1">
                  <c:v>119695</c:v>
                </c:pt>
                <c:pt idx="2">
                  <c:v>137497</c:v>
                </c:pt>
                <c:pt idx="3">
                  <c:v>119557</c:v>
                </c:pt>
                <c:pt idx="4">
                  <c:v>137917</c:v>
                </c:pt>
                <c:pt idx="5">
                  <c:v>154408</c:v>
                </c:pt>
                <c:pt idx="6">
                  <c:v>191539</c:v>
                </c:pt>
                <c:pt idx="7">
                  <c:v>213472</c:v>
                </c:pt>
                <c:pt idx="8">
                  <c:v>188594</c:v>
                </c:pt>
                <c:pt idx="9">
                  <c:v>202027</c:v>
                </c:pt>
                <c:pt idx="10">
                  <c:v>165746</c:v>
                </c:pt>
                <c:pt idx="11">
                  <c:v>176607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60352"/>
        <c:axId val="130274432"/>
        <c:axId val="0"/>
      </c:bar3DChart>
      <c:catAx>
        <c:axId val="1302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274432"/>
        <c:crosses val="autoZero"/>
        <c:auto val="1"/>
        <c:lblAlgn val="ctr"/>
        <c:lblOffset val="100"/>
        <c:noMultiLvlLbl val="0"/>
      </c:catAx>
      <c:valAx>
        <c:axId val="13027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26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Personal Empleado en el Mes de Abril de Cada Año Respectivamente</a:t>
            </a:r>
          </a:p>
        </c:rich>
      </c:tx>
      <c:overlay val="0"/>
      <c:spPr>
        <a:gradFill rotWithShape="1">
          <a:gsLst>
            <a:gs pos="0">
              <a:schemeClr val="accent6">
                <a:tint val="50000"/>
                <a:satMod val="300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'[4]2017 abril-Per.RegiónYAnual '!$A$42</c:f>
              <c:strCache>
                <c:ptCount val="1"/>
                <c:pt idx="0">
                  <c:v>Nro. de Trabajadores</c:v>
                </c:pt>
              </c:strCache>
            </c:strRef>
          </c:tx>
          <c:dLbls>
            <c:dLbl>
              <c:idx val="11"/>
              <c:layout>
                <c:manualLayout>
                  <c:x val="-8.9007565643078358E-3"/>
                  <c:y val="-4.3316399008838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abril-Per.RegiónYAnual '!$B$41:$M$41</c:f>
              <c:strCache>
                <c:ptCount val="12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 abril-Per.RegiónYAnual '!$B$42:$M$42</c:f>
              <c:numCache>
                <c:formatCode>General</c:formatCode>
                <c:ptCount val="12"/>
                <c:pt idx="1">
                  <c:v>119695</c:v>
                </c:pt>
                <c:pt idx="2">
                  <c:v>137497</c:v>
                </c:pt>
                <c:pt idx="3">
                  <c:v>119557</c:v>
                </c:pt>
                <c:pt idx="4">
                  <c:v>137917</c:v>
                </c:pt>
                <c:pt idx="5">
                  <c:v>154408</c:v>
                </c:pt>
                <c:pt idx="6">
                  <c:v>191539</c:v>
                </c:pt>
                <c:pt idx="7">
                  <c:v>213472</c:v>
                </c:pt>
                <c:pt idx="8">
                  <c:v>188594</c:v>
                </c:pt>
                <c:pt idx="9">
                  <c:v>202027</c:v>
                </c:pt>
                <c:pt idx="10">
                  <c:v>165746</c:v>
                </c:pt>
                <c:pt idx="11">
                  <c:v>176607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488"/>
        <c:axId val="130321024"/>
      </c:lineChart>
      <c:catAx>
        <c:axId val="1303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321024"/>
        <c:crosses val="autoZero"/>
        <c:auto val="1"/>
        <c:lblAlgn val="ctr"/>
        <c:lblOffset val="100"/>
        <c:noMultiLvlLbl val="0"/>
      </c:catAx>
      <c:valAx>
        <c:axId val="130321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Nro. de Trabajadores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319488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9525</xdr:rowOff>
    </xdr:from>
    <xdr:to>
      <xdr:col>10</xdr:col>
      <xdr:colOff>342900</xdr:colOff>
      <xdr:row>78</xdr:row>
      <xdr:rowOff>114300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80</xdr:row>
      <xdr:rowOff>152400</xdr:rowOff>
    </xdr:from>
    <xdr:to>
      <xdr:col>12</xdr:col>
      <xdr:colOff>95250</xdr:colOff>
      <xdr:row>107</xdr:row>
      <xdr:rowOff>161925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48</xdr:row>
      <xdr:rowOff>47625</xdr:rowOff>
    </xdr:from>
    <xdr:to>
      <xdr:col>13</xdr:col>
      <xdr:colOff>381000</xdr:colOff>
      <xdr:row>66</xdr:row>
      <xdr:rowOff>133350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39</xdr:row>
      <xdr:rowOff>9525</xdr:rowOff>
    </xdr:from>
    <xdr:to>
      <xdr:col>24</xdr:col>
      <xdr:colOff>285750</xdr:colOff>
      <xdr:row>60</xdr:row>
      <xdr:rowOff>152400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12</xdr:row>
      <xdr:rowOff>85725</xdr:rowOff>
    </xdr:from>
    <xdr:to>
      <xdr:col>16</xdr:col>
      <xdr:colOff>295275</xdr:colOff>
      <xdr:row>30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37</xdr:row>
      <xdr:rowOff>76200</xdr:rowOff>
    </xdr:from>
    <xdr:to>
      <xdr:col>12</xdr:col>
      <xdr:colOff>38100</xdr:colOff>
      <xdr:row>52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6</xdr:row>
      <xdr:rowOff>295275</xdr:rowOff>
    </xdr:from>
    <xdr:to>
      <xdr:col>17</xdr:col>
      <xdr:colOff>676275</xdr:colOff>
      <xdr:row>33</xdr:row>
      <xdr:rowOff>28575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44</xdr:row>
      <xdr:rowOff>114300</xdr:rowOff>
    </xdr:from>
    <xdr:to>
      <xdr:col>7</xdr:col>
      <xdr:colOff>504825</xdr:colOff>
      <xdr:row>68</xdr:row>
      <xdr:rowOff>180975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714375</xdr:colOff>
      <xdr:row>44</xdr:row>
      <xdr:rowOff>95250</xdr:rowOff>
    </xdr:from>
    <xdr:to>
      <xdr:col>17</xdr:col>
      <xdr:colOff>314325</xdr:colOff>
      <xdr:row>68</xdr:row>
      <xdr:rowOff>257175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_ABRIL_201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HOYOS/____________________________________historico/INVER%20MARZO/INVER_2017_marz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_ABRIL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Emp_ABRIl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</sheetNames>
    <sheetDataSet>
      <sheetData sheetId="0">
        <row r="90">
          <cell r="P90">
            <v>2015</v>
          </cell>
          <cell r="Q90">
            <v>2016</v>
          </cell>
          <cell r="R90">
            <v>2017</v>
          </cell>
        </row>
        <row r="91">
          <cell r="O91" t="str">
            <v>EQ. DE PLANTA DE BENEFICIO</v>
          </cell>
          <cell r="P91">
            <v>153</v>
          </cell>
          <cell r="Q91">
            <v>85</v>
          </cell>
          <cell r="R91">
            <v>111</v>
          </cell>
        </row>
        <row r="92">
          <cell r="O92" t="str">
            <v>EQ. MINERO</v>
          </cell>
          <cell r="P92">
            <v>191</v>
          </cell>
          <cell r="Q92">
            <v>118</v>
          </cell>
          <cell r="R92">
            <v>99</v>
          </cell>
        </row>
        <row r="93">
          <cell r="O93" t="str">
            <v>EXPLORACIÓN</v>
          </cell>
          <cell r="P93">
            <v>156</v>
          </cell>
          <cell r="Q93">
            <v>100</v>
          </cell>
          <cell r="R93">
            <v>114</v>
          </cell>
        </row>
        <row r="94">
          <cell r="O94" t="str">
            <v>EXPLOTACIÓN</v>
          </cell>
          <cell r="P94">
            <v>249</v>
          </cell>
          <cell r="Q94">
            <v>263</v>
          </cell>
          <cell r="R94">
            <v>299</v>
          </cell>
        </row>
        <row r="95">
          <cell r="O95" t="str">
            <v>INFRAESTRUCTURA</v>
          </cell>
          <cell r="P95">
            <v>318</v>
          </cell>
          <cell r="Q95">
            <v>273</v>
          </cell>
          <cell r="R95">
            <v>274</v>
          </cell>
        </row>
        <row r="96">
          <cell r="O96" t="str">
            <v>OTROS</v>
          </cell>
          <cell r="P96">
            <v>1256</v>
          </cell>
          <cell r="Q96">
            <v>379</v>
          </cell>
          <cell r="R96">
            <v>150</v>
          </cell>
        </row>
        <row r="97">
          <cell r="O97" t="str">
            <v>PREPARACIÓN</v>
          </cell>
          <cell r="P97">
            <v>109</v>
          </cell>
          <cell r="Q97">
            <v>112</v>
          </cell>
          <cell r="R97">
            <v>130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a"/>
      <sheetName val="Inversiones 6"/>
      <sheetName val="Hoja3"/>
    </sheetNames>
    <sheetDataSet>
      <sheetData sheetId="0" refreshError="1">
        <row r="22">
          <cell r="K22">
            <v>0</v>
          </cell>
        </row>
        <row r="23">
          <cell r="K23">
            <v>0</v>
          </cell>
        </row>
      </sheetData>
      <sheetData sheetId="1" refreshError="1">
        <row r="59">
          <cell r="E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</sheetNames>
    <sheetDataSet>
      <sheetData sheetId="0">
        <row r="38">
          <cell r="O38" t="str">
            <v>EQ. DE PTA DE BENEFICIO</v>
          </cell>
        </row>
      </sheetData>
      <sheetData sheetId="1"/>
      <sheetData sheetId="2"/>
      <sheetData sheetId="3">
        <row r="12">
          <cell r="B12" t="str">
            <v>CUSCO</v>
          </cell>
        </row>
        <row r="43">
          <cell r="C43">
            <v>2007</v>
          </cell>
          <cell r="D43">
            <v>2008</v>
          </cell>
          <cell r="E43">
            <v>2009</v>
          </cell>
          <cell r="F43">
            <v>2010</v>
          </cell>
          <cell r="G43">
            <v>2011</v>
          </cell>
          <cell r="H43">
            <v>2012</v>
          </cell>
          <cell r="I43">
            <v>2013</v>
          </cell>
          <cell r="J43" t="str">
            <v>2014(p)</v>
          </cell>
          <cell r="K43" t="str">
            <v>2015(p)</v>
          </cell>
          <cell r="L43" t="str">
            <v>2016(p)</v>
          </cell>
          <cell r="M43" t="str">
            <v>2017(p)</v>
          </cell>
        </row>
        <row r="44">
          <cell r="C44">
            <v>390</v>
          </cell>
          <cell r="D44">
            <v>516</v>
          </cell>
          <cell r="E44">
            <v>574</v>
          </cell>
          <cell r="F44">
            <v>1048</v>
          </cell>
          <cell r="G44">
            <v>1580</v>
          </cell>
          <cell r="H44">
            <v>2195</v>
          </cell>
          <cell r="I44">
            <v>2734</v>
          </cell>
          <cell r="J44">
            <v>2817</v>
          </cell>
          <cell r="K44">
            <v>2433</v>
          </cell>
          <cell r="L44">
            <v>1331.672</v>
          </cell>
          <cell r="M44">
            <v>1179.8230000000001</v>
          </cell>
        </row>
      </sheetData>
      <sheetData sheetId="4">
        <row r="9">
          <cell r="D9">
            <v>2005</v>
          </cell>
          <cell r="E9" t="str">
            <v>2006</v>
          </cell>
          <cell r="F9" t="str">
            <v>2007</v>
          </cell>
          <cell r="G9" t="str">
            <v>2008</v>
          </cell>
          <cell r="H9" t="str">
            <v>2009</v>
          </cell>
          <cell r="I9">
            <v>2010</v>
          </cell>
          <cell r="J9">
            <v>2011</v>
          </cell>
          <cell r="K9">
            <v>2012</v>
          </cell>
          <cell r="L9">
            <v>2013</v>
          </cell>
          <cell r="M9">
            <v>2014</v>
          </cell>
          <cell r="N9" t="str">
            <v>2015(p)</v>
          </cell>
          <cell r="O9" t="str">
            <v>2016(p)</v>
          </cell>
          <cell r="P9" t="str">
            <v>2017(p)</v>
          </cell>
        </row>
        <row r="10">
          <cell r="C10" t="str">
            <v>Millones de US $</v>
          </cell>
          <cell r="D10">
            <v>1085.7331581600004</v>
          </cell>
          <cell r="E10">
            <v>1609.9147206899995</v>
          </cell>
          <cell r="F10">
            <v>1248.8157222100001</v>
          </cell>
          <cell r="G10">
            <v>1708.05930629</v>
          </cell>
          <cell r="H10">
            <v>2821.66178881</v>
          </cell>
          <cell r="I10">
            <v>4069.4446639899998</v>
          </cell>
          <cell r="J10">
            <v>7247.1225798100013</v>
          </cell>
          <cell r="K10">
            <v>8503.5799538300016</v>
          </cell>
          <cell r="L10">
            <v>9940.4216068900005</v>
          </cell>
          <cell r="M10">
            <v>8867.2108695199986</v>
          </cell>
          <cell r="N10">
            <v>7616.8134082500001</v>
          </cell>
          <cell r="O10">
            <v>4251.3892154399991</v>
          </cell>
          <cell r="P10">
            <v>1179.8230000000001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_abril _EmpleoEnMinería1"/>
      <sheetName val="2017 abril-Per.RegiónYAnual "/>
    </sheetNames>
    <sheetDataSet>
      <sheetData sheetId="0">
        <row r="39">
          <cell r="Q39" t="str">
            <v>Total</v>
          </cell>
        </row>
        <row r="40">
          <cell r="Q40">
            <v>108493</v>
          </cell>
        </row>
        <row r="41">
          <cell r="Q41">
            <v>134981</v>
          </cell>
        </row>
        <row r="42">
          <cell r="Q42">
            <v>127026</v>
          </cell>
        </row>
        <row r="43">
          <cell r="Q43">
            <v>126083</v>
          </cell>
        </row>
        <row r="44">
          <cell r="Q44">
            <v>165531</v>
          </cell>
        </row>
        <row r="45">
          <cell r="Q45">
            <v>173145</v>
          </cell>
        </row>
        <row r="46">
          <cell r="Q46">
            <v>207771</v>
          </cell>
        </row>
        <row r="47">
          <cell r="Q47">
            <v>208382</v>
          </cell>
        </row>
        <row r="48">
          <cell r="Q48">
            <v>195361.33333333334</v>
          </cell>
        </row>
        <row r="49">
          <cell r="Q49">
            <v>195704.81818181818</v>
          </cell>
        </row>
        <row r="50">
          <cell r="Q50">
            <v>174126.41666666666</v>
          </cell>
        </row>
        <row r="51">
          <cell r="Q51">
            <v>176607</v>
          </cell>
        </row>
      </sheetData>
      <sheetData sheetId="1">
        <row r="8">
          <cell r="B8" t="str">
            <v>Nro. de Trabajadores</v>
          </cell>
        </row>
        <row r="9">
          <cell r="A9" t="str">
            <v>AREQUIPA</v>
          </cell>
          <cell r="B9">
            <v>28461</v>
          </cell>
        </row>
        <row r="10">
          <cell r="A10" t="str">
            <v>LA LIBERTAD</v>
          </cell>
          <cell r="B10">
            <v>16579</v>
          </cell>
        </row>
        <row r="11">
          <cell r="A11" t="str">
            <v>JUNIN</v>
          </cell>
          <cell r="B11">
            <v>16523</v>
          </cell>
        </row>
        <row r="12">
          <cell r="A12" t="str">
            <v>PASCO</v>
          </cell>
          <cell r="B12">
            <v>14229</v>
          </cell>
        </row>
        <row r="13">
          <cell r="A13" t="str">
            <v>LIMA</v>
          </cell>
          <cell r="B13">
            <v>14216</v>
          </cell>
        </row>
        <row r="14">
          <cell r="A14" t="str">
            <v>CAJAMARCA</v>
          </cell>
          <cell r="B14">
            <v>12507</v>
          </cell>
        </row>
        <row r="15">
          <cell r="A15" t="str">
            <v>ANCASH</v>
          </cell>
          <cell r="B15">
            <v>11809</v>
          </cell>
        </row>
        <row r="16">
          <cell r="A16" t="str">
            <v>APURIMAC</v>
          </cell>
          <cell r="B16">
            <v>11701</v>
          </cell>
        </row>
        <row r="17">
          <cell r="A17" t="str">
            <v>CUSCO</v>
          </cell>
          <cell r="B17">
            <v>7710</v>
          </cell>
        </row>
        <row r="18">
          <cell r="A18" t="str">
            <v>MOQUEGUA</v>
          </cell>
          <cell r="B18">
            <v>7690</v>
          </cell>
        </row>
        <row r="19">
          <cell r="A19" t="str">
            <v>TACNA</v>
          </cell>
          <cell r="B19">
            <v>7362</v>
          </cell>
        </row>
        <row r="20">
          <cell r="A20" t="str">
            <v>ICA</v>
          </cell>
          <cell r="B20">
            <v>7293</v>
          </cell>
        </row>
        <row r="21">
          <cell r="A21" t="str">
            <v>AYACUCHO</v>
          </cell>
          <cell r="B21">
            <v>6599</v>
          </cell>
        </row>
        <row r="22">
          <cell r="A22" t="str">
            <v>PUNO</v>
          </cell>
          <cell r="B22">
            <v>4986</v>
          </cell>
        </row>
        <row r="23">
          <cell r="A23" t="str">
            <v>HUANCAVELICA</v>
          </cell>
          <cell r="B23">
            <v>3734</v>
          </cell>
        </row>
        <row r="24">
          <cell r="A24" t="str">
            <v>PIURA</v>
          </cell>
          <cell r="B24">
            <v>2409</v>
          </cell>
        </row>
        <row r="25">
          <cell r="A25" t="str">
            <v>HUANUCO</v>
          </cell>
          <cell r="B25">
            <v>1890</v>
          </cell>
        </row>
        <row r="26">
          <cell r="A26" t="str">
            <v>MADRE DE DIOS</v>
          </cell>
          <cell r="B26">
            <v>685</v>
          </cell>
        </row>
        <row r="27">
          <cell r="A27" t="str">
            <v>LAMBAYEQUE</v>
          </cell>
          <cell r="B27">
            <v>94</v>
          </cell>
        </row>
        <row r="28">
          <cell r="A28" t="str">
            <v>SAN MARTIN</v>
          </cell>
          <cell r="B28">
            <v>76</v>
          </cell>
        </row>
        <row r="29">
          <cell r="A29" t="str">
            <v>CALLAO</v>
          </cell>
          <cell r="B29">
            <v>22</v>
          </cell>
        </row>
        <row r="30">
          <cell r="A30" t="str">
            <v>AMAZONAS</v>
          </cell>
          <cell r="B30">
            <v>16</v>
          </cell>
        </row>
        <row r="31">
          <cell r="A31" t="str">
            <v>LORETO</v>
          </cell>
          <cell r="B31">
            <v>16</v>
          </cell>
        </row>
        <row r="41">
          <cell r="C41">
            <v>2007</v>
          </cell>
          <cell r="D41">
            <v>2008</v>
          </cell>
          <cell r="E41">
            <v>2009</v>
          </cell>
          <cell r="F41">
            <v>2010</v>
          </cell>
          <cell r="G41">
            <v>2011</v>
          </cell>
          <cell r="H41">
            <v>2012</v>
          </cell>
          <cell r="I41">
            <v>2013</v>
          </cell>
          <cell r="J41">
            <v>2014</v>
          </cell>
          <cell r="K41" t="str">
            <v>2015 (p)</v>
          </cell>
          <cell r="L41" t="str">
            <v>2016 (p)</v>
          </cell>
          <cell r="M41" t="str">
            <v>2017 (p)</v>
          </cell>
        </row>
        <row r="42">
          <cell r="A42" t="str">
            <v>Nro. de Trabajadores</v>
          </cell>
          <cell r="C42">
            <v>119695</v>
          </cell>
          <cell r="D42">
            <v>137497</v>
          </cell>
          <cell r="E42">
            <v>119557</v>
          </cell>
          <cell r="F42">
            <v>137917</v>
          </cell>
          <cell r="G42">
            <v>154408</v>
          </cell>
          <cell r="H42">
            <v>191539</v>
          </cell>
          <cell r="I42">
            <v>213472</v>
          </cell>
          <cell r="J42">
            <v>188594</v>
          </cell>
          <cell r="K42">
            <v>202027</v>
          </cell>
          <cell r="L42">
            <v>165746</v>
          </cell>
          <cell r="M42">
            <v>176607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anto\AppData\Local\Microsoft\Windows\INetCache\Content.Outlook\LF9JNYUF\INV_ABRIL_201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yos Huanca Diego Guillermo" refreshedDate="42884.529835416666" createdVersion="4" refreshedVersion="4" minRefreshableVersion="3" recordCount="24">
  <cacheSource type="worksheet">
    <worksheetSource ref="AG6:AI30" sheet="INVERSIONES 4" r:id="rId2"/>
  </cacheSource>
  <cacheFields count="3">
    <cacheField name="DEPARTAMENTO" numFmtId="0">
      <sharedItems count="24">
        <s v="AMAZONAS"/>
        <s v="ANCASH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  <s v="TUMBES"/>
      </sharedItems>
    </cacheField>
    <cacheField name="2016" numFmtId="0">
      <sharedItems containsSemiMixedTypes="0" containsString="0" containsNumber="1" minValue="0" maxValue="230381904.03"/>
    </cacheField>
    <cacheField name="2017" numFmtId="0">
      <sharedItems containsSemiMixedTypes="0" containsString="0" containsNumber="1" minValue="16000" maxValue="212942294.64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n v="220658"/>
    <n v="168221"/>
  </r>
  <r>
    <x v="1"/>
    <n v="82428448.530000016"/>
    <n v="65898895.209999993"/>
  </r>
  <r>
    <x v="2"/>
    <n v="133176616.96000001"/>
    <n v="43235309.009999998"/>
  </r>
  <r>
    <x v="3"/>
    <n v="121480842.72999999"/>
    <n v="181035758.34999999"/>
  </r>
  <r>
    <x v="4"/>
    <n v="19788560.940000001"/>
    <n v="20088273.289999999"/>
  </r>
  <r>
    <x v="5"/>
    <n v="62102080.980000004"/>
    <n v="61461044.659999996"/>
  </r>
  <r>
    <x v="6"/>
    <n v="332500"/>
    <n v="128000"/>
  </r>
  <r>
    <x v="7"/>
    <n v="230381904.03"/>
    <n v="212942294.64000002"/>
  </r>
  <r>
    <x v="8"/>
    <n v="12180663.550000001"/>
    <n v="12706725.57"/>
  </r>
  <r>
    <x v="9"/>
    <n v="8343334.9199999999"/>
    <n v="7365838.0899999999"/>
  </r>
  <r>
    <x v="10"/>
    <n v="55866103.280000001"/>
    <n v="30357902.030000001"/>
  </r>
  <r>
    <x v="11"/>
    <n v="72123923.810000002"/>
    <n v="76923640.320000008"/>
  </r>
  <r>
    <x v="12"/>
    <n v="172386679.80000001"/>
    <n v="181400831.45000002"/>
  </r>
  <r>
    <x v="13"/>
    <n v="280900"/>
    <n v="404625.18"/>
  </r>
  <r>
    <x v="14"/>
    <n v="57963798.750000007"/>
    <n v="56320907.359999999"/>
  </r>
  <r>
    <x v="15"/>
    <n v="91000"/>
    <n v="97550"/>
  </r>
  <r>
    <x v="16"/>
    <n v="2594515"/>
    <n v="2573430"/>
  </r>
  <r>
    <x v="17"/>
    <n v="82623398.010000005"/>
    <n v="70367416.370000005"/>
  </r>
  <r>
    <x v="18"/>
    <n v="34573146.819999993"/>
    <n v="41710391.689999998"/>
  </r>
  <r>
    <x v="19"/>
    <n v="6636069.3500000006"/>
    <n v="5944932.4399999995"/>
  </r>
  <r>
    <x v="20"/>
    <n v="29521641.870000001"/>
    <n v="26985337.789999995"/>
  </r>
  <r>
    <x v="21"/>
    <n v="12233.73"/>
    <n v="21509.040000000001"/>
  </r>
  <r>
    <x v="22"/>
    <n v="146574998"/>
    <n v="81680504"/>
  </r>
  <r>
    <x v="23"/>
    <n v="0"/>
    <n v="1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3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K6:AM31" firstHeaderRow="0" firstDataRow="1" firstDataCol="1"/>
  <pivotFields count="3">
    <pivotField axis="axisRow" showAll="0" sortType="de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numFmtId="3" showAll="0"/>
    <pivotField dataField="1" numFmtId="3" showAll="0"/>
  </pivotFields>
  <rowFields count="1">
    <field x="0"/>
  </rowFields>
  <rowItems count="25">
    <i>
      <x v="7"/>
    </i>
    <i>
      <x v="12"/>
    </i>
    <i>
      <x v="3"/>
    </i>
    <i>
      <x v="22"/>
    </i>
    <i>
      <x v="11"/>
    </i>
    <i>
      <x v="17"/>
    </i>
    <i>
      <x v="1"/>
    </i>
    <i>
      <x v="5"/>
    </i>
    <i>
      <x v="14"/>
    </i>
    <i>
      <x v="2"/>
    </i>
    <i>
      <x v="18"/>
    </i>
    <i>
      <x v="10"/>
    </i>
    <i>
      <x v="20"/>
    </i>
    <i>
      <x v="4"/>
    </i>
    <i>
      <x v="8"/>
    </i>
    <i>
      <x v="9"/>
    </i>
    <i>
      <x v="19"/>
    </i>
    <i>
      <x v="16"/>
    </i>
    <i>
      <x v="13"/>
    </i>
    <i>
      <x/>
    </i>
    <i>
      <x v="6"/>
    </i>
    <i>
      <x v="15"/>
    </i>
    <i>
      <x v="21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2016" fld="1" baseField="0" baseItem="0" numFmtId="3"/>
    <dataField name="Suma de 2017" fld="2" baseField="0" baseItem="0" numFmtId="3"/>
  </dataFields>
  <formats count="6"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type="all" dataOnly="0" outline="0" collapsedLevelsAreSubtotals="1" fieldPosition="0"/>
    </format>
    <format dxfId="0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0"/>
  <sheetViews>
    <sheetView tabSelected="1" zoomScale="145" zoomScaleNormal="145" workbookViewId="0">
      <pane xSplit="1" topLeftCell="B1" activePane="topRight" state="frozen"/>
      <selection activeCell="B29" sqref="B29"/>
      <selection pane="topRight"/>
    </sheetView>
  </sheetViews>
  <sheetFormatPr baseColWidth="10" defaultColWidth="11.5703125" defaultRowHeight="12"/>
  <cols>
    <col min="1" max="1" width="11.5703125" style="3"/>
    <col min="2" max="2" width="17.28515625" style="4" customWidth="1"/>
    <col min="3" max="9" width="17.28515625" style="7" customWidth="1"/>
    <col min="10" max="16384" width="11.5703125" style="3"/>
  </cols>
  <sheetData>
    <row r="1" spans="1:9" ht="15">
      <c r="A1" s="1" t="s">
        <v>744</v>
      </c>
    </row>
    <row r="2" spans="1:9" ht="15">
      <c r="A2" s="1" t="s">
        <v>150</v>
      </c>
    </row>
    <row r="3" spans="1:9" ht="15">
      <c r="A3" s="1"/>
    </row>
    <row r="4" spans="1:9">
      <c r="A4" s="192" t="s">
        <v>0</v>
      </c>
      <c r="B4" s="193" t="s">
        <v>1</v>
      </c>
      <c r="C4" s="193" t="s">
        <v>2</v>
      </c>
      <c r="D4" s="193" t="s">
        <v>3</v>
      </c>
      <c r="E4" s="193" t="s">
        <v>297</v>
      </c>
      <c r="F4" s="193" t="s">
        <v>4</v>
      </c>
      <c r="G4" s="193" t="s">
        <v>323</v>
      </c>
      <c r="H4" s="193" t="s">
        <v>5</v>
      </c>
      <c r="I4" s="193" t="s">
        <v>6</v>
      </c>
    </row>
    <row r="5" spans="1:9" s="66" customFormat="1" ht="12.75" thickBot="1">
      <c r="A5" s="64"/>
      <c r="B5" s="65" t="s">
        <v>347</v>
      </c>
      <c r="C5" s="65" t="s">
        <v>347</v>
      </c>
      <c r="D5" s="65" t="s">
        <v>346</v>
      </c>
      <c r="E5" s="65" t="s">
        <v>345</v>
      </c>
      <c r="F5" s="65" t="s">
        <v>344</v>
      </c>
      <c r="G5" s="65" t="s">
        <v>344</v>
      </c>
      <c r="H5" s="65" t="s">
        <v>344</v>
      </c>
      <c r="I5" s="65" t="s">
        <v>344</v>
      </c>
    </row>
    <row r="6" spans="1:9">
      <c r="A6" s="4">
        <v>2004</v>
      </c>
      <c r="B6" s="21">
        <v>0.05</v>
      </c>
      <c r="C6" s="21">
        <v>5.0999999999999997E-2</v>
      </c>
      <c r="D6" s="21">
        <v>3.4799999999999998E-2</v>
      </c>
      <c r="E6" s="316">
        <v>3.41</v>
      </c>
      <c r="F6" s="23">
        <v>12809</v>
      </c>
      <c r="G6" s="23">
        <v>7124</v>
      </c>
      <c r="H6" s="23">
        <v>9805</v>
      </c>
      <c r="I6" s="23">
        <f>F6-H6</f>
        <v>3004</v>
      </c>
    </row>
    <row r="7" spans="1:9">
      <c r="A7" s="4">
        <v>2005</v>
      </c>
      <c r="B7" s="21">
        <v>6.285208165967561E-2</v>
      </c>
      <c r="C7" s="21">
        <v>6.5391821324574551E-2</v>
      </c>
      <c r="D7" s="21">
        <v>1.49E-2</v>
      </c>
      <c r="E7" s="316">
        <v>3.3</v>
      </c>
      <c r="F7" s="23">
        <v>17368</v>
      </c>
      <c r="G7" s="23">
        <v>9790</v>
      </c>
      <c r="H7" s="23">
        <v>12082</v>
      </c>
      <c r="I7" s="101">
        <f t="shared" ref="I7:I8" si="0">F7-H7</f>
        <v>5286</v>
      </c>
    </row>
    <row r="8" spans="1:9">
      <c r="A8" s="4">
        <v>2006</v>
      </c>
      <c r="B8" s="6">
        <v>7.5287768916579692E-2</v>
      </c>
      <c r="C8" s="6">
        <v>9.2492579012308333E-3</v>
      </c>
      <c r="D8" s="6">
        <v>1.14E-2</v>
      </c>
      <c r="E8" s="316">
        <v>3.27</v>
      </c>
      <c r="F8" s="8">
        <v>23830</v>
      </c>
      <c r="G8" s="8">
        <v>14735</v>
      </c>
      <c r="H8" s="8">
        <v>14844</v>
      </c>
      <c r="I8" s="101">
        <f t="shared" si="0"/>
        <v>8986</v>
      </c>
    </row>
    <row r="9" spans="1:9">
      <c r="A9" s="4">
        <v>2007</v>
      </c>
      <c r="B9" s="6">
        <v>8.5184497525102362E-2</v>
      </c>
      <c r="C9" s="6">
        <v>3.7566658866790871E-2</v>
      </c>
      <c r="D9" s="6">
        <v>1.7787100404310932E-2</v>
      </c>
      <c r="E9" s="316">
        <v>3.128333699969621</v>
      </c>
      <c r="F9" s="8">
        <v>28094.019126088009</v>
      </c>
      <c r="G9" s="8">
        <v>18730.272446936651</v>
      </c>
      <c r="H9" s="8">
        <v>19590.521779000002</v>
      </c>
      <c r="I9" s="101">
        <v>8503.4973470880068</v>
      </c>
    </row>
    <row r="10" spans="1:9">
      <c r="A10" s="4">
        <v>2008</v>
      </c>
      <c r="B10" s="6">
        <v>9.1431481975249085E-2</v>
      </c>
      <c r="C10" s="6">
        <v>7.1487132744776999E-2</v>
      </c>
      <c r="D10" s="6">
        <v>5.7878827399999999E-2</v>
      </c>
      <c r="E10" s="316">
        <v>2.9247264298901503</v>
      </c>
      <c r="F10" s="8">
        <v>31018.479629195266</v>
      </c>
      <c r="G10" s="8">
        <v>19513.421048299402</v>
      </c>
      <c r="H10" s="8">
        <v>28449.181869000004</v>
      </c>
      <c r="I10" s="101">
        <v>2569.2977601952657</v>
      </c>
    </row>
    <row r="11" spans="1:9">
      <c r="A11" s="4">
        <v>2009</v>
      </c>
      <c r="B11" s="6">
        <v>1.0492323817545781E-2</v>
      </c>
      <c r="C11" s="6">
        <v>-2.115092483666544E-2</v>
      </c>
      <c r="D11" s="6">
        <v>2.9353462399999999E-2</v>
      </c>
      <c r="E11" s="316">
        <v>3.0115883398838004</v>
      </c>
      <c r="F11" s="8">
        <v>27070.51963887288</v>
      </c>
      <c r="G11" s="8">
        <v>17569.690328277931</v>
      </c>
      <c r="H11" s="8">
        <v>21010.687576</v>
      </c>
      <c r="I11" s="101">
        <v>6059.8320628728743</v>
      </c>
    </row>
    <row r="12" spans="1:9">
      <c r="A12" s="4">
        <v>2010</v>
      </c>
      <c r="B12" s="6">
        <v>8.4507468752585455E-2</v>
      </c>
      <c r="C12" s="6">
        <v>-2.7200264214781101E-2</v>
      </c>
      <c r="D12" s="6">
        <v>1.5295290833333723E-2</v>
      </c>
      <c r="E12" s="316">
        <v>2.8250957505877676</v>
      </c>
      <c r="F12" s="8">
        <v>35803.08081459505</v>
      </c>
      <c r="G12" s="8">
        <v>23496.859365768923</v>
      </c>
      <c r="H12" s="8">
        <v>28815.319466000004</v>
      </c>
      <c r="I12" s="101">
        <v>6987.7613485950487</v>
      </c>
    </row>
    <row r="13" spans="1:9">
      <c r="A13" s="4">
        <v>2011</v>
      </c>
      <c r="B13" s="6">
        <v>6.4522160023376351E-2</v>
      </c>
      <c r="C13" s="6">
        <v>-2.1193681963797388E-2</v>
      </c>
      <c r="D13" s="6">
        <v>3.3696654863748704E-2</v>
      </c>
      <c r="E13" s="316">
        <v>2.7540112112709312</v>
      </c>
      <c r="F13" s="8">
        <v>46375.961566173544</v>
      </c>
      <c r="G13" s="8">
        <v>29623.141834212729</v>
      </c>
      <c r="H13" s="8">
        <v>37151.5216</v>
      </c>
      <c r="I13" s="101">
        <v>9224.4399661735497</v>
      </c>
    </row>
    <row r="14" spans="1:9">
      <c r="A14" s="4">
        <v>2012</v>
      </c>
      <c r="B14" s="6">
        <v>5.9503463404493286E-2</v>
      </c>
      <c r="C14" s="6">
        <v>2.5103842207752792E-2</v>
      </c>
      <c r="D14" s="6">
        <v>3.6554139094222504E-2</v>
      </c>
      <c r="E14" s="316">
        <v>2.6375267297979796</v>
      </c>
      <c r="F14" s="8">
        <v>47410.606678139025</v>
      </c>
      <c r="G14" s="8">
        <v>30035.325186776645</v>
      </c>
      <c r="H14" s="8">
        <v>41017.937140000002</v>
      </c>
      <c r="I14" s="101">
        <v>6392.6695381390182</v>
      </c>
    </row>
    <row r="15" spans="1:9">
      <c r="A15" s="4">
        <v>2013</v>
      </c>
      <c r="B15" s="6">
        <v>5.8540570722561969E-2</v>
      </c>
      <c r="C15" s="6">
        <v>4.2606338594699762E-2</v>
      </c>
      <c r="D15" s="6">
        <v>2.8058274546629177E-2</v>
      </c>
      <c r="E15" s="316">
        <v>2.7023295295055818</v>
      </c>
      <c r="F15" s="8">
        <v>42860.636578772843</v>
      </c>
      <c r="G15" s="101">
        <v>26375.954516193058</v>
      </c>
      <c r="H15" s="101">
        <v>42356.184714999996</v>
      </c>
      <c r="I15" s="101">
        <v>504.45186377285063</v>
      </c>
    </row>
    <row r="16" spans="1:9">
      <c r="A16" s="232">
        <v>2014</v>
      </c>
      <c r="B16" s="241">
        <v>2.3906678024908815E-2</v>
      </c>
      <c r="C16" s="241">
        <v>-2.2333599723621519E-2</v>
      </c>
      <c r="D16" s="241">
        <v>3.2459610352057099E-2</v>
      </c>
      <c r="E16" s="317">
        <v>2.8387441197691197</v>
      </c>
      <c r="F16" s="101">
        <v>39532.68289863666</v>
      </c>
      <c r="G16" s="101">
        <v>22938.843128408011</v>
      </c>
      <c r="H16" s="101">
        <v>41042.150549999991</v>
      </c>
      <c r="I16" s="101">
        <v>-1509.4676513633376</v>
      </c>
    </row>
    <row r="17" spans="1:9" s="242" customFormat="1">
      <c r="A17" s="232">
        <v>2015</v>
      </c>
      <c r="B17" s="241">
        <v>3.3242006341480279E-2</v>
      </c>
      <c r="C17" s="241">
        <v>0.15658743860788774</v>
      </c>
      <c r="D17" s="241">
        <v>3.5478487642527201E-2</v>
      </c>
      <c r="E17" s="317">
        <v>3.1853143181818182</v>
      </c>
      <c r="F17" s="101">
        <v>34235.663917661659</v>
      </c>
      <c r="G17" s="101">
        <v>21139.489453859722</v>
      </c>
      <c r="H17" s="101">
        <v>37385.181727000003</v>
      </c>
      <c r="I17" s="101">
        <v>-3149.5178093383411</v>
      </c>
    </row>
    <row r="18" spans="1:9" s="242" customFormat="1">
      <c r="A18" s="99">
        <v>2016</v>
      </c>
      <c r="B18" s="100">
        <v>3.8965679567061928E-2</v>
      </c>
      <c r="C18" s="100">
        <v>0.21202315488549117</v>
      </c>
      <c r="D18" s="100">
        <v>3.5930838949935977E-2</v>
      </c>
      <c r="E18" s="318">
        <v>3.375425825928458</v>
      </c>
      <c r="F18" s="98">
        <v>36837.510465790197</v>
      </c>
      <c r="G18" s="98">
        <v>23817.481716532107</v>
      </c>
      <c r="H18" s="98">
        <v>35107.313703</v>
      </c>
      <c r="I18" s="98">
        <v>1730.1967627902036</v>
      </c>
    </row>
    <row r="19" spans="1:9">
      <c r="A19" s="99">
        <v>2017</v>
      </c>
      <c r="B19" s="100"/>
      <c r="C19" s="221"/>
      <c r="D19" s="100"/>
      <c r="E19" s="222"/>
      <c r="F19" s="98"/>
      <c r="G19" s="98"/>
      <c r="H19" s="98"/>
      <c r="I19" s="98"/>
    </row>
    <row r="20" spans="1:9">
      <c r="A20" s="102" t="s">
        <v>214</v>
      </c>
      <c r="B20" s="326">
        <v>4.8100000000000025E-2</v>
      </c>
      <c r="C20" s="326">
        <v>0.13929999999999992</v>
      </c>
      <c r="D20" s="21">
        <v>3.1E-2</v>
      </c>
      <c r="E20" s="328">
        <v>3.34</v>
      </c>
      <c r="F20" s="327">
        <v>3311.5314019319585</v>
      </c>
      <c r="G20" s="321">
        <v>1800.3629075433685</v>
      </c>
      <c r="H20" s="321">
        <v>2966.7396160000003</v>
      </c>
      <c r="I20" s="321">
        <f>F20-H20</f>
        <v>344.7917859319582</v>
      </c>
    </row>
    <row r="21" spans="1:9">
      <c r="A21" s="102" t="s">
        <v>394</v>
      </c>
      <c r="B21" s="21">
        <v>7.4000000000000905E-3</v>
      </c>
      <c r="C21" s="21">
        <v>1.4658298635525001E-2</v>
      </c>
      <c r="D21" s="300">
        <v>3.2497932455964898E-2</v>
      </c>
      <c r="E21" s="329">
        <v>3.26</v>
      </c>
      <c r="F21" s="23">
        <v>3544.3166795178495</v>
      </c>
      <c r="G21" s="8">
        <v>2169.4921245278224</v>
      </c>
      <c r="H21" s="8">
        <v>2842.2138760000003</v>
      </c>
      <c r="I21" s="101">
        <f>F21-H21</f>
        <v>702.10280351784922</v>
      </c>
    </row>
    <row r="22" spans="1:9">
      <c r="A22" s="102" t="s">
        <v>399</v>
      </c>
      <c r="B22" s="21">
        <v>7.0993056652007168E-3</v>
      </c>
      <c r="C22" s="21">
        <v>-2.7000000002030476E-2</v>
      </c>
      <c r="D22" s="300">
        <v>3.9699999999999999E-2</v>
      </c>
      <c r="E22" s="329">
        <v>3.2639999999999998</v>
      </c>
      <c r="F22" s="23">
        <v>3260.0089652253387</v>
      </c>
      <c r="G22" s="8">
        <v>1969.64869364993</v>
      </c>
      <c r="H22" s="8">
        <v>3184.2591219999999</v>
      </c>
      <c r="I22" s="101">
        <f>F22-H22</f>
        <v>75.749843225338736</v>
      </c>
    </row>
    <row r="23" spans="1:9">
      <c r="A23" s="102" t="s">
        <v>221</v>
      </c>
      <c r="B23" s="542" t="s">
        <v>400</v>
      </c>
      <c r="C23" s="542"/>
      <c r="D23" s="300">
        <v>3.6947157214179356E-2</v>
      </c>
      <c r="E23" s="329">
        <v>3.2480000000000002</v>
      </c>
      <c r="F23" s="542" t="s">
        <v>401</v>
      </c>
      <c r="G23" s="542"/>
      <c r="H23" s="542"/>
      <c r="I23" s="542"/>
    </row>
    <row r="24" spans="1:9">
      <c r="A24" s="102"/>
      <c r="B24" s="6"/>
      <c r="C24" s="6"/>
      <c r="D24" s="6"/>
      <c r="E24" s="22"/>
      <c r="I24" s="8"/>
    </row>
    <row r="25" spans="1:9">
      <c r="A25" s="5" t="s">
        <v>348</v>
      </c>
      <c r="B25" s="5"/>
      <c r="C25" s="9"/>
      <c r="D25" s="9"/>
      <c r="E25" s="9"/>
      <c r="F25" s="9"/>
      <c r="G25" s="9"/>
      <c r="H25" s="9"/>
      <c r="I25" s="9"/>
    </row>
    <row r="26" spans="1:9" s="52" customFormat="1">
      <c r="A26" s="50" t="s">
        <v>333</v>
      </c>
      <c r="B26" s="50"/>
      <c r="C26" s="56"/>
      <c r="D26" s="56"/>
      <c r="E26" s="56"/>
      <c r="F26" s="332"/>
      <c r="G26" s="56"/>
      <c r="H26" s="56"/>
      <c r="I26" s="56"/>
    </row>
    <row r="27" spans="1:9">
      <c r="A27" s="50" t="s">
        <v>343</v>
      </c>
      <c r="D27" s="203"/>
      <c r="F27" s="273"/>
    </row>
    <row r="30" spans="1:9">
      <c r="D30" s="21"/>
    </row>
  </sheetData>
  <mergeCells count="2">
    <mergeCell ref="B23:C23"/>
    <mergeCell ref="F23:I23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C00000"/>
  </sheetPr>
  <dimension ref="A1:K55"/>
  <sheetViews>
    <sheetView zoomScaleNormal="100" workbookViewId="0">
      <selection activeCell="K32" sqref="A7:K32"/>
    </sheetView>
  </sheetViews>
  <sheetFormatPr baseColWidth="10" defaultColWidth="11.5703125" defaultRowHeight="12"/>
  <cols>
    <col min="1" max="1" width="18.42578125" style="10" customWidth="1"/>
    <col min="2" max="5" width="15.42578125" style="18" customWidth="1"/>
    <col min="6" max="9" width="15.42578125" style="12" customWidth="1"/>
    <col min="10" max="10" width="18.28515625" style="10" customWidth="1"/>
    <col min="11" max="11" width="16.85546875" style="10" customWidth="1"/>
    <col min="12" max="16384" width="11.5703125" style="10"/>
  </cols>
  <sheetData>
    <row r="1" spans="1:11" ht="15">
      <c r="A1" s="34" t="s">
        <v>233</v>
      </c>
    </row>
    <row r="2" spans="1:11" ht="15">
      <c r="A2" s="34" t="s">
        <v>122</v>
      </c>
    </row>
    <row r="3" spans="1:11">
      <c r="A3" s="33" t="s">
        <v>86</v>
      </c>
      <c r="G3" s="28"/>
      <c r="H3" s="28"/>
    </row>
    <row r="4" spans="1:11">
      <c r="E4" s="12"/>
    </row>
    <row r="5" spans="1:11">
      <c r="A5" s="186" t="s">
        <v>234</v>
      </c>
      <c r="B5" s="187">
        <v>2008</v>
      </c>
      <c r="C5" s="187">
        <v>2009</v>
      </c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</row>
    <row r="6" spans="1:11">
      <c r="A6" s="33" t="s">
        <v>87</v>
      </c>
      <c r="B6" s="36">
        <v>17933.04</v>
      </c>
      <c r="C6" s="36">
        <v>74217.87</v>
      </c>
      <c r="D6" s="36">
        <v>111199.59</v>
      </c>
      <c r="E6" s="36">
        <v>126051.05</v>
      </c>
      <c r="F6" s="36">
        <v>92.62</v>
      </c>
      <c r="G6" s="36">
        <v>12.48</v>
      </c>
      <c r="H6" s="36">
        <v>7.12</v>
      </c>
      <c r="I6" s="36">
        <v>89.12</v>
      </c>
      <c r="J6" s="36">
        <v>14.989999999999998</v>
      </c>
      <c r="K6" s="272">
        <v>0</v>
      </c>
    </row>
    <row r="7" spans="1:11">
      <c r="A7" s="33" t="s">
        <v>88</v>
      </c>
      <c r="B7" s="36">
        <v>1319496305.51</v>
      </c>
      <c r="C7" s="36">
        <v>855475615.14999998</v>
      </c>
      <c r="D7" s="36">
        <v>782241866.36999989</v>
      </c>
      <c r="E7" s="36">
        <v>756045883.97000003</v>
      </c>
      <c r="F7" s="36">
        <v>1003300317.11</v>
      </c>
      <c r="G7" s="36">
        <v>1003366246.96</v>
      </c>
      <c r="H7" s="36">
        <v>731629442.54999995</v>
      </c>
      <c r="I7" s="36">
        <v>415256250.88999999</v>
      </c>
      <c r="J7" s="36">
        <v>313663812.89999998</v>
      </c>
      <c r="K7" s="272">
        <v>0</v>
      </c>
    </row>
    <row r="8" spans="1:11">
      <c r="A8" s="33" t="s">
        <v>89</v>
      </c>
      <c r="B8" s="36">
        <v>22544897.590000004</v>
      </c>
      <c r="C8" s="36">
        <v>12005878.120000001</v>
      </c>
      <c r="D8" s="36">
        <v>744744.65999999992</v>
      </c>
      <c r="E8" s="36">
        <v>2003181.67</v>
      </c>
      <c r="F8" s="36">
        <v>7035996.9500000002</v>
      </c>
      <c r="G8" s="36">
        <v>11641850.82</v>
      </c>
      <c r="H8" s="36">
        <v>2259338.4299999997</v>
      </c>
      <c r="I8" s="36">
        <v>659.47</v>
      </c>
      <c r="J8" s="36">
        <v>3207066.32</v>
      </c>
      <c r="K8" s="272">
        <v>0</v>
      </c>
    </row>
    <row r="9" spans="1:11">
      <c r="A9" s="33" t="s">
        <v>90</v>
      </c>
      <c r="B9" s="36">
        <v>457527413.31</v>
      </c>
      <c r="C9" s="36">
        <v>530845865.07999998</v>
      </c>
      <c r="D9" s="36">
        <v>347511926.96000004</v>
      </c>
      <c r="E9" s="36">
        <v>662649336.91999996</v>
      </c>
      <c r="F9" s="36">
        <v>781587277</v>
      </c>
      <c r="G9" s="36">
        <v>445771506.77000004</v>
      </c>
      <c r="H9" s="36">
        <v>383204568.28999996</v>
      </c>
      <c r="I9" s="36">
        <v>356823875.94999999</v>
      </c>
      <c r="J9" s="36">
        <v>21985207.27</v>
      </c>
      <c r="K9" s="272">
        <v>0</v>
      </c>
    </row>
    <row r="10" spans="1:11">
      <c r="A10" s="33" t="s">
        <v>91</v>
      </c>
      <c r="B10" s="36">
        <v>41206251.899999999</v>
      </c>
      <c r="C10" s="36">
        <v>9502869.9600000009</v>
      </c>
      <c r="D10" s="36">
        <v>34324031.140000001</v>
      </c>
      <c r="E10" s="36">
        <v>57453332.809999995</v>
      </c>
      <c r="F10" s="36">
        <v>83545774.930000007</v>
      </c>
      <c r="G10" s="36">
        <v>16803539.789999999</v>
      </c>
      <c r="H10" s="36">
        <v>3308871.21</v>
      </c>
      <c r="I10" s="36">
        <v>9649463.5899999999</v>
      </c>
      <c r="J10" s="36">
        <v>15023096.52</v>
      </c>
      <c r="K10" s="272">
        <v>0</v>
      </c>
    </row>
    <row r="11" spans="1:11">
      <c r="A11" s="33" t="s">
        <v>92</v>
      </c>
      <c r="B11" s="36">
        <v>183348632.80000001</v>
      </c>
      <c r="C11" s="36">
        <v>228105055.57999998</v>
      </c>
      <c r="D11" s="36">
        <v>411689577.15999997</v>
      </c>
      <c r="E11" s="36">
        <v>417671620.28999996</v>
      </c>
      <c r="F11" s="36">
        <v>538824016.48000002</v>
      </c>
      <c r="G11" s="36">
        <v>528459118.89999998</v>
      </c>
      <c r="H11" s="36">
        <v>351470803.22000003</v>
      </c>
      <c r="I11" s="36">
        <v>209812694.41999999</v>
      </c>
      <c r="J11" s="36">
        <v>216889851.09999999</v>
      </c>
      <c r="K11" s="272">
        <v>0</v>
      </c>
    </row>
    <row r="12" spans="1:11">
      <c r="A12" s="33" t="s">
        <v>93</v>
      </c>
      <c r="B12" s="36">
        <v>1886.72</v>
      </c>
      <c r="C12" s="36">
        <v>31.240000000000002</v>
      </c>
      <c r="D12" s="36">
        <v>13.91</v>
      </c>
      <c r="E12" s="36">
        <v>54.879999999999995</v>
      </c>
      <c r="F12" s="36">
        <v>1111.96</v>
      </c>
      <c r="G12" s="36">
        <v>477.55</v>
      </c>
      <c r="H12" s="36">
        <v>2637.24</v>
      </c>
      <c r="I12" s="36">
        <v>15468.939999999999</v>
      </c>
      <c r="J12" s="36">
        <v>5134.92</v>
      </c>
      <c r="K12" s="272">
        <v>0</v>
      </c>
    </row>
    <row r="13" spans="1:11">
      <c r="A13" s="33" t="s">
        <v>94</v>
      </c>
      <c r="B13" s="36">
        <v>242406460.46000001</v>
      </c>
      <c r="C13" s="36">
        <v>135273907.24000001</v>
      </c>
      <c r="D13" s="36">
        <v>103638879.95</v>
      </c>
      <c r="E13" s="36">
        <v>170082899.13</v>
      </c>
      <c r="F13" s="36">
        <v>357199502.73000002</v>
      </c>
      <c r="G13" s="36">
        <v>34983511.259999998</v>
      </c>
      <c r="H13" s="36">
        <v>100854933.39999999</v>
      </c>
      <c r="I13" s="36">
        <v>137066946.16</v>
      </c>
      <c r="J13" s="36">
        <v>49043314.479999997</v>
      </c>
      <c r="K13" s="272">
        <v>0</v>
      </c>
    </row>
    <row r="14" spans="1:11">
      <c r="A14" s="33" t="s">
        <v>95</v>
      </c>
      <c r="B14" s="36">
        <v>48079583.93</v>
      </c>
      <c r="C14" s="36">
        <v>16853688.530000001</v>
      </c>
      <c r="D14" s="36">
        <v>5812310.2400000002</v>
      </c>
      <c r="E14" s="36">
        <v>8536206.0899999999</v>
      </c>
      <c r="F14" s="36">
        <v>18430940.420000002</v>
      </c>
      <c r="G14" s="36">
        <v>9866148.8900000006</v>
      </c>
      <c r="H14" s="36">
        <v>3403180.4899999998</v>
      </c>
      <c r="I14" s="36">
        <v>1919372.6</v>
      </c>
      <c r="J14" s="36">
        <v>95516.83</v>
      </c>
      <c r="K14" s="272">
        <v>0</v>
      </c>
    </row>
    <row r="15" spans="1:11">
      <c r="A15" s="33" t="s">
        <v>96</v>
      </c>
      <c r="B15" s="36">
        <v>7728576.9900000002</v>
      </c>
      <c r="C15" s="36">
        <v>2682871.1500000004</v>
      </c>
      <c r="D15" s="36">
        <v>1649753.88</v>
      </c>
      <c r="E15" s="36">
        <v>4322956.87</v>
      </c>
      <c r="F15" s="36">
        <v>4139210.03</v>
      </c>
      <c r="G15" s="36">
        <v>1098254.94</v>
      </c>
      <c r="H15" s="36">
        <v>125513.64</v>
      </c>
      <c r="I15" s="36">
        <v>805950.03</v>
      </c>
      <c r="J15" s="36">
        <v>22759.97</v>
      </c>
      <c r="K15" s="272">
        <v>0</v>
      </c>
    </row>
    <row r="16" spans="1:11">
      <c r="A16" s="33" t="s">
        <v>97</v>
      </c>
      <c r="B16" s="36">
        <v>68652141.739999995</v>
      </c>
      <c r="C16" s="36">
        <v>110479558.08</v>
      </c>
      <c r="D16" s="36">
        <v>67342320.370000005</v>
      </c>
      <c r="E16" s="36">
        <v>201987826.62</v>
      </c>
      <c r="F16" s="36">
        <v>347064086</v>
      </c>
      <c r="G16" s="36">
        <v>185986109.46000001</v>
      </c>
      <c r="H16" s="36">
        <v>234651200.10999998</v>
      </c>
      <c r="I16" s="36">
        <v>126136074.55</v>
      </c>
      <c r="J16" s="36">
        <v>56638874.040000007</v>
      </c>
      <c r="K16" s="272">
        <v>0</v>
      </c>
    </row>
    <row r="17" spans="1:11">
      <c r="A17" s="33" t="s">
        <v>98</v>
      </c>
      <c r="B17" s="36">
        <v>123229875.47</v>
      </c>
      <c r="C17" s="36">
        <v>38907551.469999999</v>
      </c>
      <c r="D17" s="36">
        <v>63002507.140000001</v>
      </c>
      <c r="E17" s="36">
        <v>78663596.210000008</v>
      </c>
      <c r="F17" s="36">
        <v>108067124.84</v>
      </c>
      <c r="G17" s="36">
        <v>63627363.269999996</v>
      </c>
      <c r="H17" s="36">
        <v>32192362.059999999</v>
      </c>
      <c r="I17" s="36">
        <v>15536481.15</v>
      </c>
      <c r="J17" s="36">
        <v>25434253.299999997</v>
      </c>
      <c r="K17" s="272">
        <v>0</v>
      </c>
    </row>
    <row r="18" spans="1:11">
      <c r="A18" s="33" t="s">
        <v>99</v>
      </c>
      <c r="B18" s="36">
        <v>264799247.04000002</v>
      </c>
      <c r="C18" s="36">
        <v>372054757.60000002</v>
      </c>
      <c r="D18" s="36">
        <v>422325535.78999996</v>
      </c>
      <c r="E18" s="36">
        <v>459340507.74000001</v>
      </c>
      <c r="F18" s="36">
        <v>547675206.03999996</v>
      </c>
      <c r="G18" s="36">
        <v>545255309.13999999</v>
      </c>
      <c r="H18" s="36">
        <v>358192493.45999998</v>
      </c>
      <c r="I18" s="36">
        <v>288802646.45999998</v>
      </c>
      <c r="J18" s="36">
        <v>253360992.87</v>
      </c>
      <c r="K18" s="272">
        <v>0</v>
      </c>
    </row>
    <row r="19" spans="1:11">
      <c r="A19" s="33" t="s">
        <v>100</v>
      </c>
      <c r="B19" s="36">
        <v>0</v>
      </c>
      <c r="C19" s="36">
        <v>274095.75</v>
      </c>
      <c r="D19" s="36">
        <v>115757.74</v>
      </c>
      <c r="E19" s="36">
        <v>501828.61</v>
      </c>
      <c r="F19" s="36">
        <v>444450.51</v>
      </c>
      <c r="G19" s="36">
        <v>95383.06</v>
      </c>
      <c r="H19" s="36">
        <v>1078.8699999999999</v>
      </c>
      <c r="I19" s="36">
        <v>1429.08</v>
      </c>
      <c r="J19" s="36">
        <v>4315.1399999999994</v>
      </c>
      <c r="K19" s="272">
        <v>0</v>
      </c>
    </row>
    <row r="20" spans="1:11">
      <c r="A20" s="33" t="s">
        <v>101</v>
      </c>
      <c r="B20" s="36">
        <v>183366498.43000001</v>
      </c>
      <c r="C20" s="36">
        <v>68279154.75</v>
      </c>
      <c r="D20" s="36">
        <v>72488136.25</v>
      </c>
      <c r="E20" s="36">
        <v>105630074.91999999</v>
      </c>
      <c r="F20" s="36">
        <v>161777753.31</v>
      </c>
      <c r="G20" s="36">
        <v>103733678.27999999</v>
      </c>
      <c r="H20" s="36">
        <v>53900588.590000004</v>
      </c>
      <c r="I20" s="36">
        <v>75878391.219999999</v>
      </c>
      <c r="J20" s="36">
        <v>41111915.07</v>
      </c>
      <c r="K20" s="272">
        <v>0</v>
      </c>
    </row>
    <row r="21" spans="1:11">
      <c r="A21" s="33" t="s">
        <v>102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72">
        <v>0</v>
      </c>
    </row>
    <row r="22" spans="1:11">
      <c r="A22" s="33" t="s">
        <v>103</v>
      </c>
      <c r="B22" s="36">
        <v>47797.5</v>
      </c>
      <c r="C22" s="36">
        <v>43896.76</v>
      </c>
      <c r="D22" s="36">
        <v>56577.5</v>
      </c>
      <c r="E22" s="36">
        <v>120121.37</v>
      </c>
      <c r="F22" s="36">
        <v>710522.33</v>
      </c>
      <c r="G22" s="36">
        <v>1670990.4700000002</v>
      </c>
      <c r="H22" s="36">
        <v>789063.23</v>
      </c>
      <c r="I22" s="36">
        <v>99562.389999999985</v>
      </c>
      <c r="J22" s="36">
        <v>582873.76</v>
      </c>
      <c r="K22" s="272">
        <v>0</v>
      </c>
    </row>
    <row r="23" spans="1:11">
      <c r="A23" s="33" t="s">
        <v>104</v>
      </c>
      <c r="B23" s="36">
        <v>211435193.41</v>
      </c>
      <c r="C23" s="36">
        <v>385563975.85000002</v>
      </c>
      <c r="D23" s="36">
        <v>245490011.28</v>
      </c>
      <c r="E23" s="36">
        <v>392507454.75</v>
      </c>
      <c r="F23" s="36">
        <v>325421341.69</v>
      </c>
      <c r="G23" s="36">
        <v>297492036.81999999</v>
      </c>
      <c r="H23" s="36">
        <v>249401909.13</v>
      </c>
      <c r="I23" s="36">
        <v>233544864.59999999</v>
      </c>
      <c r="J23" s="36">
        <v>189395284.74000001</v>
      </c>
      <c r="K23" s="272">
        <v>0</v>
      </c>
    </row>
    <row r="24" spans="1:11">
      <c r="A24" s="33" t="s">
        <v>105</v>
      </c>
      <c r="B24" s="36">
        <v>377199408.09999996</v>
      </c>
      <c r="C24" s="36">
        <v>112581503.64999999</v>
      </c>
      <c r="D24" s="36">
        <v>149832539.31</v>
      </c>
      <c r="E24" s="36">
        <v>181704859.61000001</v>
      </c>
      <c r="F24" s="36">
        <v>197004847.94</v>
      </c>
      <c r="G24" s="36">
        <v>90142507.200000003</v>
      </c>
      <c r="H24" s="36">
        <v>64108014.82</v>
      </c>
      <c r="I24" s="36">
        <v>45275011.489999995</v>
      </c>
      <c r="J24" s="36">
        <v>12959532.629999999</v>
      </c>
      <c r="K24" s="272">
        <v>0</v>
      </c>
    </row>
    <row r="25" spans="1:11">
      <c r="A25" s="33" t="s">
        <v>106</v>
      </c>
      <c r="B25" s="36">
        <v>9607.2900000000009</v>
      </c>
      <c r="C25" s="36">
        <v>33783.71</v>
      </c>
      <c r="D25" s="36">
        <v>19851.16</v>
      </c>
      <c r="E25" s="36">
        <v>128027.83</v>
      </c>
      <c r="F25" s="36">
        <v>182005.68</v>
      </c>
      <c r="G25" s="36">
        <v>6206028.790000001</v>
      </c>
      <c r="H25" s="36">
        <v>4140435.82</v>
      </c>
      <c r="I25" s="36">
        <v>1851.9</v>
      </c>
      <c r="J25" s="36">
        <v>31623008.73</v>
      </c>
      <c r="K25" s="272">
        <v>0</v>
      </c>
    </row>
    <row r="26" spans="1:11">
      <c r="A26" s="33" t="s">
        <v>107</v>
      </c>
      <c r="B26" s="36">
        <v>172502222.28</v>
      </c>
      <c r="C26" s="36">
        <v>247656042.30000001</v>
      </c>
      <c r="D26" s="36">
        <v>181583871.34999999</v>
      </c>
      <c r="E26" s="36">
        <v>307169985.73000002</v>
      </c>
      <c r="F26" s="36">
        <v>304315338.49000001</v>
      </c>
      <c r="G26" s="36">
        <v>218491749.28</v>
      </c>
      <c r="H26" s="36">
        <v>177457561.19999999</v>
      </c>
      <c r="I26" s="36">
        <v>136941189.25</v>
      </c>
      <c r="J26" s="36">
        <v>87174903.689999998</v>
      </c>
      <c r="K26" s="272">
        <v>0</v>
      </c>
    </row>
    <row r="27" spans="1:11">
      <c r="A27" s="33" t="s">
        <v>108</v>
      </c>
      <c r="B27" s="36">
        <v>478211.55</v>
      </c>
      <c r="C27" s="36">
        <v>511912.33999999997</v>
      </c>
      <c r="D27" s="36">
        <v>436063.37</v>
      </c>
      <c r="E27" s="36">
        <v>622210.17000000004</v>
      </c>
      <c r="F27" s="36">
        <v>960723.89999999991</v>
      </c>
      <c r="G27" s="36">
        <v>554779.19999999995</v>
      </c>
      <c r="H27" s="36">
        <v>853012.37</v>
      </c>
      <c r="I27" s="36">
        <v>806841.22</v>
      </c>
      <c r="J27" s="36">
        <v>943407.78</v>
      </c>
      <c r="K27" s="272">
        <v>0</v>
      </c>
    </row>
    <row r="28" spans="1:11">
      <c r="A28" s="33" t="s">
        <v>109</v>
      </c>
      <c r="B28" s="36">
        <v>711596409.20000005</v>
      </c>
      <c r="C28" s="36">
        <v>307245982.46000004</v>
      </c>
      <c r="D28" s="36">
        <v>199206612.91</v>
      </c>
      <c r="E28" s="36">
        <v>350101607.76999998</v>
      </c>
      <c r="F28" s="36">
        <v>336547419.06</v>
      </c>
      <c r="G28" s="36">
        <v>251918679.81</v>
      </c>
      <c r="H28" s="36">
        <v>226801556.28999999</v>
      </c>
      <c r="I28" s="36">
        <v>205679752.31</v>
      </c>
      <c r="J28" s="36">
        <v>177659542.19</v>
      </c>
      <c r="K28" s="272">
        <v>0</v>
      </c>
    </row>
    <row r="29" spans="1:11">
      <c r="A29" s="33" t="s">
        <v>110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72">
        <v>0</v>
      </c>
    </row>
    <row r="30" spans="1:11">
      <c r="A30" s="33" t="s">
        <v>111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272">
        <v>0</v>
      </c>
    </row>
    <row r="31" spans="1:11">
      <c r="A31" s="33"/>
      <c r="B31" s="36"/>
      <c r="C31" s="36"/>
      <c r="D31" s="36"/>
      <c r="E31" s="36"/>
      <c r="F31" s="36"/>
      <c r="G31" s="36"/>
      <c r="H31" s="36"/>
      <c r="I31" s="10"/>
    </row>
    <row r="32" spans="1:11">
      <c r="A32" s="35" t="s">
        <v>112</v>
      </c>
      <c r="B32" s="37">
        <f t="shared" ref="B32:G32" si="0">SUM(B6:B30)</f>
        <v>4435674554.2599993</v>
      </c>
      <c r="C32" s="37">
        <f t="shared" si="0"/>
        <v>3434452214.6400008</v>
      </c>
      <c r="D32" s="37">
        <f t="shared" si="0"/>
        <v>3089624088.0300002</v>
      </c>
      <c r="E32" s="37">
        <f t="shared" si="0"/>
        <v>4157369625.0100002</v>
      </c>
      <c r="F32" s="37">
        <f t="shared" si="0"/>
        <v>5124235060.0200005</v>
      </c>
      <c r="G32" s="37">
        <f t="shared" si="0"/>
        <v>3817165283.1399999</v>
      </c>
      <c r="H32" s="37">
        <f>SUM(H6:H30)</f>
        <v>2978748571.54</v>
      </c>
      <c r="I32" s="37">
        <f>SUM(I6:I30)</f>
        <v>2260054866.7900004</v>
      </c>
      <c r="J32" s="37">
        <f>SUM(J6:J30)</f>
        <v>1496824679.24</v>
      </c>
      <c r="K32" s="37">
        <f>SUM(K6:K30)</f>
        <v>0</v>
      </c>
    </row>
    <row r="33" spans="1:11">
      <c r="B33" s="10"/>
      <c r="C33" s="10"/>
      <c r="D33" s="10"/>
      <c r="E33" s="10"/>
      <c r="F33" s="10"/>
      <c r="G33" s="10"/>
      <c r="H33" s="10"/>
      <c r="I33" s="10"/>
    </row>
    <row r="34" spans="1:11">
      <c r="K34" s="11" t="s">
        <v>356</v>
      </c>
    </row>
    <row r="39" spans="1:11">
      <c r="A39" s="5" t="s">
        <v>114</v>
      </c>
      <c r="B39" s="9"/>
      <c r="C39" s="9"/>
      <c r="D39" s="9"/>
      <c r="E39" s="9"/>
      <c r="F39" s="9"/>
      <c r="G39" s="9"/>
      <c r="H39" s="9"/>
      <c r="I39" s="9"/>
    </row>
    <row r="40" spans="1:11">
      <c r="A40" s="50" t="s">
        <v>153</v>
      </c>
      <c r="B40" s="45"/>
      <c r="C40" s="45"/>
      <c r="D40" s="45"/>
      <c r="E40" s="45"/>
      <c r="F40" s="45"/>
      <c r="G40" s="45"/>
      <c r="H40" s="45"/>
      <c r="I40" s="45"/>
    </row>
    <row r="42" spans="1:11">
      <c r="A42" s="11" t="s">
        <v>143</v>
      </c>
    </row>
    <row r="43" spans="1:11">
      <c r="A43" s="10" t="s">
        <v>115</v>
      </c>
    </row>
    <row r="45" spans="1:11">
      <c r="A45" s="11" t="s">
        <v>140</v>
      </c>
    </row>
    <row r="46" spans="1:11">
      <c r="A46" s="10" t="s">
        <v>116</v>
      </c>
    </row>
    <row r="47" spans="1:11">
      <c r="A47" s="10" t="s">
        <v>117</v>
      </c>
    </row>
    <row r="48" spans="1:11">
      <c r="A48" s="10" t="s">
        <v>118</v>
      </c>
    </row>
    <row r="49" spans="1:1">
      <c r="A49" s="10" t="s">
        <v>119</v>
      </c>
    </row>
    <row r="50" spans="1:1">
      <c r="A50" s="10" t="s">
        <v>120</v>
      </c>
    </row>
    <row r="52" spans="1:1">
      <c r="A52" s="10" t="s">
        <v>121</v>
      </c>
    </row>
    <row r="54" spans="1:1">
      <c r="A54" s="11" t="s">
        <v>141</v>
      </c>
    </row>
    <row r="55" spans="1:1">
      <c r="A55" s="10" t="s">
        <v>281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32: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C00000"/>
    <pageSetUpPr fitToPage="1"/>
  </sheetPr>
  <dimension ref="A1:K87"/>
  <sheetViews>
    <sheetView zoomScaleNormal="100" workbookViewId="0">
      <selection activeCell="K33" sqref="A7:K33"/>
    </sheetView>
  </sheetViews>
  <sheetFormatPr baseColWidth="10" defaultColWidth="11.5703125" defaultRowHeight="12"/>
  <cols>
    <col min="1" max="1" width="17.5703125" style="10" customWidth="1"/>
    <col min="2" max="5" width="13.42578125" style="18" customWidth="1"/>
    <col min="6" max="9" width="13.42578125" style="12" customWidth="1"/>
    <col min="10" max="11" width="13.42578125" style="10" customWidth="1"/>
    <col min="12" max="16384" width="11.5703125" style="10"/>
  </cols>
  <sheetData>
    <row r="1" spans="1:11" ht="15">
      <c r="A1" s="34" t="s">
        <v>236</v>
      </c>
    </row>
    <row r="2" spans="1:11" ht="15">
      <c r="A2" s="34" t="s">
        <v>123</v>
      </c>
    </row>
    <row r="3" spans="1:11">
      <c r="A3" s="33" t="s">
        <v>86</v>
      </c>
      <c r="G3" s="28"/>
      <c r="H3" s="28"/>
    </row>
    <row r="5" spans="1:11">
      <c r="E5" s="12"/>
    </row>
    <row r="6" spans="1:11">
      <c r="A6" s="186" t="s">
        <v>234</v>
      </c>
      <c r="B6" s="187">
        <v>2008</v>
      </c>
      <c r="C6" s="187">
        <v>2009</v>
      </c>
      <c r="D6" s="187">
        <v>2010</v>
      </c>
      <c r="E6" s="187">
        <v>2011</v>
      </c>
      <c r="F6" s="187">
        <v>2012</v>
      </c>
      <c r="G6" s="187">
        <v>2013</v>
      </c>
      <c r="H6" s="187">
        <v>2014</v>
      </c>
      <c r="I6" s="187">
        <v>2015</v>
      </c>
      <c r="J6" s="187">
        <v>2016</v>
      </c>
      <c r="K6" s="187">
        <v>2017</v>
      </c>
    </row>
    <row r="7" spans="1:11">
      <c r="A7" s="33" t="s">
        <v>87</v>
      </c>
      <c r="B7" s="36">
        <v>134260</v>
      </c>
      <c r="C7" s="36">
        <v>4436</v>
      </c>
      <c r="D7" s="36">
        <v>4468</v>
      </c>
      <c r="E7" s="36">
        <v>923</v>
      </c>
      <c r="F7" s="36">
        <v>39</v>
      </c>
      <c r="G7" s="36">
        <v>48</v>
      </c>
      <c r="H7" s="36">
        <v>58</v>
      </c>
      <c r="I7" s="36">
        <v>74.92</v>
      </c>
      <c r="J7" s="36">
        <v>61.78</v>
      </c>
      <c r="K7" s="36">
        <v>26.189999999999998</v>
      </c>
    </row>
    <row r="8" spans="1:11">
      <c r="A8" s="33" t="s">
        <v>88</v>
      </c>
      <c r="B8" s="36">
        <v>5169377</v>
      </c>
      <c r="C8" s="36">
        <v>1914984</v>
      </c>
      <c r="D8" s="36">
        <v>4392094</v>
      </c>
      <c r="E8" s="36">
        <v>5143777</v>
      </c>
      <c r="F8" s="36">
        <v>2307836</v>
      </c>
      <c r="G8" s="36">
        <v>3591939</v>
      </c>
      <c r="H8" s="36">
        <v>2794537</v>
      </c>
      <c r="I8" s="36">
        <v>3593649.19</v>
      </c>
      <c r="J8" s="36">
        <v>64479376.629999995</v>
      </c>
      <c r="K8" s="36">
        <v>91404515.439999998</v>
      </c>
    </row>
    <row r="9" spans="1:11">
      <c r="A9" s="33" t="s">
        <v>89</v>
      </c>
      <c r="B9" s="36">
        <v>2377545</v>
      </c>
      <c r="C9" s="36">
        <v>454836</v>
      </c>
      <c r="D9" s="36">
        <v>140127</v>
      </c>
      <c r="E9" s="36">
        <v>630930</v>
      </c>
      <c r="F9" s="36">
        <v>1467003</v>
      </c>
      <c r="G9" s="36">
        <v>2311448</v>
      </c>
      <c r="H9" s="36">
        <v>465201</v>
      </c>
      <c r="I9" s="36">
        <v>1873625.73</v>
      </c>
      <c r="J9" s="36">
        <v>5593507.0299999993</v>
      </c>
      <c r="K9" s="36">
        <v>2466843.71</v>
      </c>
    </row>
    <row r="10" spans="1:11">
      <c r="A10" s="33" t="s">
        <v>90</v>
      </c>
      <c r="B10" s="36">
        <v>32353502</v>
      </c>
      <c r="C10" s="36">
        <v>37677744</v>
      </c>
      <c r="D10" s="36">
        <v>47817208</v>
      </c>
      <c r="E10" s="36">
        <v>62327359</v>
      </c>
      <c r="F10" s="36">
        <v>34047458</v>
      </c>
      <c r="G10" s="36">
        <v>28469309</v>
      </c>
      <c r="H10" s="36">
        <v>61205266</v>
      </c>
      <c r="I10" s="36">
        <v>70970669.489999995</v>
      </c>
      <c r="J10" s="36">
        <v>346070142.09000003</v>
      </c>
      <c r="K10" s="36">
        <v>103850790.22</v>
      </c>
    </row>
    <row r="11" spans="1:11">
      <c r="A11" s="33" t="s">
        <v>91</v>
      </c>
      <c r="B11" s="36">
        <v>2987536</v>
      </c>
      <c r="C11" s="36">
        <v>5680483</v>
      </c>
      <c r="D11" s="36">
        <v>14009728</v>
      </c>
      <c r="E11" s="36">
        <v>27428581</v>
      </c>
      <c r="F11" s="36">
        <v>11305525</v>
      </c>
      <c r="G11" s="36">
        <v>8838112</v>
      </c>
      <c r="H11" s="36">
        <v>9143440</v>
      </c>
      <c r="I11" s="36">
        <v>10431709.24</v>
      </c>
      <c r="J11" s="36">
        <v>13828411.4</v>
      </c>
      <c r="K11" s="36">
        <v>8829130.9600000009</v>
      </c>
    </row>
    <row r="12" spans="1:11">
      <c r="A12" s="33" t="s">
        <v>92</v>
      </c>
      <c r="B12" s="36">
        <v>603619</v>
      </c>
      <c r="C12" s="36">
        <v>14610064</v>
      </c>
      <c r="D12" s="36">
        <v>57124732</v>
      </c>
      <c r="E12" s="36">
        <v>89462978</v>
      </c>
      <c r="F12" s="36">
        <v>54639955</v>
      </c>
      <c r="G12" s="36">
        <v>85457657</v>
      </c>
      <c r="H12" s="36">
        <v>43509723</v>
      </c>
      <c r="I12" s="36">
        <v>37939895.130000003</v>
      </c>
      <c r="J12" s="36">
        <v>39867955.800000004</v>
      </c>
      <c r="K12" s="36">
        <v>24610858.650000002</v>
      </c>
    </row>
    <row r="13" spans="1:11">
      <c r="A13" s="33" t="s">
        <v>93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</row>
    <row r="14" spans="1:11">
      <c r="A14" s="33" t="s">
        <v>94</v>
      </c>
      <c r="B14" s="36">
        <v>0</v>
      </c>
      <c r="C14" s="36">
        <v>0</v>
      </c>
      <c r="D14" s="36">
        <v>19385830</v>
      </c>
      <c r="E14" s="36">
        <v>39996699</v>
      </c>
      <c r="F14" s="36">
        <v>28282072</v>
      </c>
      <c r="G14" s="36">
        <v>21311417</v>
      </c>
      <c r="H14" s="36">
        <v>38022772</v>
      </c>
      <c r="I14" s="36">
        <v>91040799.520000011</v>
      </c>
      <c r="J14" s="36">
        <v>108135667.40000001</v>
      </c>
      <c r="K14" s="36">
        <v>55303923.270000003</v>
      </c>
    </row>
    <row r="15" spans="1:11">
      <c r="A15" s="33" t="s">
        <v>95</v>
      </c>
      <c r="B15" s="36">
        <v>13695532</v>
      </c>
      <c r="C15" s="36">
        <v>7409606</v>
      </c>
      <c r="D15" s="36">
        <v>11902860</v>
      </c>
      <c r="E15" s="36">
        <v>21536755</v>
      </c>
      <c r="F15" s="36">
        <v>7169662</v>
      </c>
      <c r="G15" s="36">
        <v>6575704</v>
      </c>
      <c r="H15" s="36">
        <v>6097305</v>
      </c>
      <c r="I15" s="36">
        <v>7386627.25</v>
      </c>
      <c r="J15" s="36">
        <v>4262079.09</v>
      </c>
      <c r="K15" s="36">
        <v>2404373.46</v>
      </c>
    </row>
    <row r="16" spans="1:11">
      <c r="A16" s="33" t="s">
        <v>96</v>
      </c>
      <c r="B16" s="36">
        <v>1932104</v>
      </c>
      <c r="C16" s="36">
        <v>925949</v>
      </c>
      <c r="D16" s="36">
        <v>1421240</v>
      </c>
      <c r="E16" s="36">
        <v>2460403</v>
      </c>
      <c r="F16" s="36">
        <v>1312787</v>
      </c>
      <c r="G16" s="36">
        <v>1350610</v>
      </c>
      <c r="H16" s="36">
        <v>1417405</v>
      </c>
      <c r="I16" s="36">
        <v>1940862.95</v>
      </c>
      <c r="J16" s="36">
        <v>1996555.1700000002</v>
      </c>
      <c r="K16" s="36">
        <v>1511267.92</v>
      </c>
    </row>
    <row r="17" spans="1:11">
      <c r="A17" s="33" t="s">
        <v>97</v>
      </c>
      <c r="B17" s="36">
        <v>11287173</v>
      </c>
      <c r="C17" s="36">
        <v>8048300</v>
      </c>
      <c r="D17" s="36">
        <v>12491671</v>
      </c>
      <c r="E17" s="36">
        <v>28657841</v>
      </c>
      <c r="F17" s="36">
        <v>50162706</v>
      </c>
      <c r="G17" s="36">
        <v>39303662</v>
      </c>
      <c r="H17" s="36">
        <v>48393448</v>
      </c>
      <c r="I17" s="36">
        <v>12316881.129999999</v>
      </c>
      <c r="J17" s="36">
        <v>10090881.529999999</v>
      </c>
      <c r="K17" s="36">
        <v>6258486.3699999992</v>
      </c>
    </row>
    <row r="18" spans="1:11">
      <c r="A18" s="33" t="s">
        <v>98</v>
      </c>
      <c r="B18" s="36">
        <v>28059807</v>
      </c>
      <c r="C18" s="36">
        <v>20609806</v>
      </c>
      <c r="D18" s="36">
        <v>35561680</v>
      </c>
      <c r="E18" s="36">
        <v>51439201</v>
      </c>
      <c r="F18" s="36">
        <v>14513337</v>
      </c>
      <c r="G18" s="36">
        <v>22211870</v>
      </c>
      <c r="H18" s="36">
        <v>4771452</v>
      </c>
      <c r="I18" s="36">
        <v>42233184.329999998</v>
      </c>
      <c r="J18" s="36">
        <v>23859437.209999997</v>
      </c>
      <c r="K18" s="36">
        <v>14887953.140000001</v>
      </c>
    </row>
    <row r="19" spans="1:11">
      <c r="A19" s="33" t="s">
        <v>99</v>
      </c>
      <c r="B19" s="36">
        <v>23501267</v>
      </c>
      <c r="C19" s="36">
        <v>26089773</v>
      </c>
      <c r="D19" s="36">
        <v>41357775</v>
      </c>
      <c r="E19" s="36">
        <v>62079461</v>
      </c>
      <c r="F19" s="36">
        <v>46281459</v>
      </c>
      <c r="G19" s="36">
        <v>43177064</v>
      </c>
      <c r="H19" s="36">
        <v>35976682</v>
      </c>
      <c r="I19" s="36">
        <v>40327207.729999997</v>
      </c>
      <c r="J19" s="36">
        <v>38962430.539999999</v>
      </c>
      <c r="K19" s="36">
        <v>25375107.869999997</v>
      </c>
    </row>
    <row r="20" spans="1:11">
      <c r="A20" s="33" t="s">
        <v>100</v>
      </c>
      <c r="B20" s="36">
        <v>0</v>
      </c>
      <c r="C20" s="36">
        <v>0</v>
      </c>
      <c r="D20" s="36">
        <v>25896</v>
      </c>
      <c r="E20" s="36">
        <v>124424</v>
      </c>
      <c r="F20" s="36">
        <v>29154</v>
      </c>
      <c r="G20" s="36">
        <v>0</v>
      </c>
      <c r="H20" s="36">
        <v>0</v>
      </c>
      <c r="I20" s="36">
        <v>0</v>
      </c>
      <c r="J20" s="36">
        <v>0</v>
      </c>
      <c r="K20" s="36"/>
    </row>
    <row r="21" spans="1:11">
      <c r="A21" s="33" t="s">
        <v>101</v>
      </c>
      <c r="B21" s="36">
        <v>42749832</v>
      </c>
      <c r="C21" s="36">
        <v>18927527</v>
      </c>
      <c r="D21" s="36">
        <v>35863622</v>
      </c>
      <c r="E21" s="36">
        <v>69320655</v>
      </c>
      <c r="F21" s="36">
        <v>26921423</v>
      </c>
      <c r="G21" s="36">
        <v>29843264</v>
      </c>
      <c r="H21" s="36">
        <v>24527570</v>
      </c>
      <c r="I21" s="36">
        <v>40962473.659999996</v>
      </c>
      <c r="J21" s="36">
        <v>28250435.450000003</v>
      </c>
      <c r="K21" s="36">
        <v>20155017.27</v>
      </c>
    </row>
    <row r="22" spans="1:11">
      <c r="A22" s="33" t="s">
        <v>102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</row>
    <row r="23" spans="1:11">
      <c r="A23" s="33" t="s">
        <v>103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/>
    </row>
    <row r="24" spans="1:11">
      <c r="A24" s="33" t="s">
        <v>104</v>
      </c>
      <c r="B24" s="36">
        <v>104590058</v>
      </c>
      <c r="C24" s="36">
        <v>55321786</v>
      </c>
      <c r="D24" s="36">
        <v>93874114</v>
      </c>
      <c r="E24" s="36">
        <v>102567807</v>
      </c>
      <c r="F24" s="36">
        <v>88816447</v>
      </c>
      <c r="G24" s="36">
        <v>58598499</v>
      </c>
      <c r="H24" s="36">
        <v>49229991</v>
      </c>
      <c r="I24" s="36">
        <v>50191725.279999994</v>
      </c>
      <c r="J24" s="36">
        <v>31014915.91</v>
      </c>
      <c r="K24" s="36">
        <v>17006930.07</v>
      </c>
    </row>
    <row r="25" spans="1:11">
      <c r="A25" s="33" t="s">
        <v>105</v>
      </c>
      <c r="B25" s="36">
        <v>57814651</v>
      </c>
      <c r="C25" s="36">
        <v>31390469</v>
      </c>
      <c r="D25" s="36">
        <v>52135742</v>
      </c>
      <c r="E25" s="36">
        <v>75166609</v>
      </c>
      <c r="F25" s="36">
        <v>24788149</v>
      </c>
      <c r="G25" s="36">
        <v>32663590</v>
      </c>
      <c r="H25" s="36">
        <v>15509637</v>
      </c>
      <c r="I25" s="36">
        <v>41367240.32</v>
      </c>
      <c r="J25" s="36">
        <v>21140128.490000002</v>
      </c>
      <c r="K25" s="36">
        <v>14774452.210000001</v>
      </c>
    </row>
    <row r="26" spans="1:11">
      <c r="A26" s="33" t="s">
        <v>106</v>
      </c>
      <c r="B26" s="36">
        <v>913</v>
      </c>
      <c r="C26" s="36">
        <v>0</v>
      </c>
      <c r="D26" s="36">
        <v>1291</v>
      </c>
      <c r="E26" s="36">
        <v>168584</v>
      </c>
      <c r="F26" s="36">
        <v>127077</v>
      </c>
      <c r="G26" s="36">
        <v>172335</v>
      </c>
      <c r="H26" s="36">
        <v>288123</v>
      </c>
      <c r="I26" s="36">
        <v>296383.94</v>
      </c>
      <c r="J26" s="36">
        <v>617143.41</v>
      </c>
      <c r="K26" s="36">
        <v>260912.61000000002</v>
      </c>
    </row>
    <row r="27" spans="1:11">
      <c r="A27" s="33" t="s">
        <v>107</v>
      </c>
      <c r="B27" s="36">
        <v>62394204</v>
      </c>
      <c r="C27" s="36">
        <v>38500189</v>
      </c>
      <c r="D27" s="36">
        <v>64903313</v>
      </c>
      <c r="E27" s="36">
        <v>76674845</v>
      </c>
      <c r="F27" s="36">
        <v>59113704</v>
      </c>
      <c r="G27" s="36">
        <v>46641569</v>
      </c>
      <c r="H27" s="36">
        <v>49023865</v>
      </c>
      <c r="I27" s="36">
        <v>26760661.670000002</v>
      </c>
      <c r="J27" s="36">
        <v>19687433.66</v>
      </c>
      <c r="K27" s="36">
        <v>17454687.93</v>
      </c>
    </row>
    <row r="28" spans="1:11">
      <c r="A28" s="33" t="s">
        <v>108</v>
      </c>
      <c r="B28" s="36">
        <v>14992</v>
      </c>
      <c r="C28" s="36">
        <v>15561</v>
      </c>
      <c r="D28" s="36">
        <v>19786</v>
      </c>
      <c r="E28" s="36">
        <v>70114</v>
      </c>
      <c r="F28" s="36">
        <v>103084</v>
      </c>
      <c r="G28" s="36">
        <v>108145</v>
      </c>
      <c r="H28" s="36">
        <v>159648</v>
      </c>
      <c r="I28" s="36">
        <v>293277.71999999997</v>
      </c>
      <c r="J28" s="36">
        <v>252898.46</v>
      </c>
      <c r="K28" s="36">
        <v>134289.22</v>
      </c>
    </row>
    <row r="29" spans="1:11">
      <c r="A29" s="33" t="s">
        <v>109</v>
      </c>
      <c r="B29" s="36">
        <v>84725432</v>
      </c>
      <c r="C29" s="36">
        <v>40792981</v>
      </c>
      <c r="D29" s="36">
        <v>74792785</v>
      </c>
      <c r="E29" s="36">
        <v>105784527</v>
      </c>
      <c r="F29" s="36">
        <v>45183308</v>
      </c>
      <c r="G29" s="36">
        <v>48204769</v>
      </c>
      <c r="H29" s="36">
        <v>47222397</v>
      </c>
      <c r="I29" s="36">
        <v>47376779.530000001</v>
      </c>
      <c r="J29" s="36">
        <v>30387711.219999999</v>
      </c>
      <c r="K29" s="36">
        <v>15710345.530000001</v>
      </c>
    </row>
    <row r="30" spans="1:11">
      <c r="A30" s="33" t="s">
        <v>110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>
      <c r="A31" s="33" t="s">
        <v>111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>
      <c r="A32" s="33"/>
      <c r="B32" s="36"/>
      <c r="C32" s="36"/>
      <c r="D32" s="36"/>
      <c r="E32" s="36"/>
      <c r="F32" s="36"/>
      <c r="G32" s="36"/>
      <c r="H32" s="36"/>
      <c r="I32" s="10"/>
    </row>
    <row r="33" spans="1:11">
      <c r="A33" s="35" t="s">
        <v>112</v>
      </c>
      <c r="B33" s="37">
        <f t="shared" ref="B33:G33" si="0">SUM(B7:B31)</f>
        <v>474391804</v>
      </c>
      <c r="C33" s="37">
        <f t="shared" si="0"/>
        <v>308374494</v>
      </c>
      <c r="D33" s="37">
        <f t="shared" si="0"/>
        <v>567225962</v>
      </c>
      <c r="E33" s="37">
        <f t="shared" si="0"/>
        <v>821042473</v>
      </c>
      <c r="F33" s="37">
        <f t="shared" si="0"/>
        <v>496572185</v>
      </c>
      <c r="G33" s="37">
        <f t="shared" si="0"/>
        <v>478831011</v>
      </c>
      <c r="H33" s="37">
        <f>SUM(H7:H31)</f>
        <v>437758520</v>
      </c>
      <c r="I33" s="37">
        <f>SUM(I7:I31)</f>
        <v>527303728.73000002</v>
      </c>
      <c r="J33" s="37">
        <f>SUM(J7:J31)</f>
        <v>788497172.26999998</v>
      </c>
      <c r="K33" s="37">
        <f>SUM(K7:K31)</f>
        <v>422399912.03999996</v>
      </c>
    </row>
    <row r="34" spans="1:11">
      <c r="B34" s="10"/>
      <c r="C34" s="10"/>
      <c r="D34" s="10"/>
      <c r="E34" s="10"/>
      <c r="F34" s="10"/>
      <c r="G34" s="10"/>
      <c r="H34" s="10"/>
      <c r="I34" s="10"/>
    </row>
    <row r="40" spans="1:11">
      <c r="A40" s="5" t="s">
        <v>114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50" t="s">
        <v>153</v>
      </c>
      <c r="B41" s="45"/>
      <c r="C41" s="45"/>
      <c r="D41" s="45"/>
      <c r="E41" s="45"/>
      <c r="F41" s="45"/>
      <c r="G41" s="45"/>
      <c r="H41" s="45"/>
      <c r="I41" s="45"/>
    </row>
    <row r="43" spans="1:11">
      <c r="A43" s="11" t="s">
        <v>142</v>
      </c>
    </row>
    <row r="44" spans="1:11">
      <c r="A44" s="10" t="s">
        <v>115</v>
      </c>
    </row>
    <row r="46" spans="1:11">
      <c r="A46" s="11" t="s">
        <v>140</v>
      </c>
    </row>
    <row r="47" spans="1:11">
      <c r="A47" s="10" t="s">
        <v>116</v>
      </c>
    </row>
    <row r="48" spans="1:11">
      <c r="A48" s="10" t="s">
        <v>117</v>
      </c>
    </row>
    <row r="49" spans="1:9">
      <c r="A49" s="10" t="s">
        <v>118</v>
      </c>
    </row>
    <row r="50" spans="1:9">
      <c r="A50" s="10" t="s">
        <v>119</v>
      </c>
    </row>
    <row r="51" spans="1:9">
      <c r="A51" s="10" t="s">
        <v>120</v>
      </c>
    </row>
    <row r="53" spans="1:9">
      <c r="A53" s="10" t="s">
        <v>121</v>
      </c>
    </row>
    <row r="55" spans="1:9">
      <c r="A55" s="11" t="s">
        <v>141</v>
      </c>
    </row>
    <row r="56" spans="1:9">
      <c r="A56" s="10" t="s">
        <v>280</v>
      </c>
    </row>
    <row r="61" spans="1:9">
      <c r="G61" s="234"/>
      <c r="H61" s="234"/>
      <c r="I61" s="18"/>
    </row>
    <row r="62" spans="1:9">
      <c r="F62" s="14"/>
      <c r="G62" s="14"/>
      <c r="H62" s="14"/>
      <c r="I62" s="14"/>
    </row>
    <row r="63" spans="1:9">
      <c r="F63" s="14"/>
      <c r="G63" s="14"/>
      <c r="H63" s="14"/>
      <c r="I63" s="14"/>
    </row>
    <row r="64" spans="1:9">
      <c r="F64" s="14"/>
      <c r="G64" s="14"/>
      <c r="H64" s="14"/>
      <c r="I64" s="14"/>
    </row>
    <row r="65" spans="6:9">
      <c r="F65" s="14"/>
      <c r="G65" s="14"/>
      <c r="H65" s="14"/>
      <c r="I65" s="14"/>
    </row>
    <row r="66" spans="6:9">
      <c r="F66" s="14"/>
      <c r="G66" s="14"/>
      <c r="H66" s="14"/>
      <c r="I66" s="14"/>
    </row>
    <row r="68" spans="6:9">
      <c r="F68" s="14"/>
      <c r="G68" s="14"/>
      <c r="H68" s="14"/>
      <c r="I68" s="14"/>
    </row>
    <row r="69" spans="6:9">
      <c r="F69" s="14"/>
      <c r="G69" s="14"/>
      <c r="H69" s="14"/>
      <c r="I69" s="14"/>
    </row>
    <row r="70" spans="6:9">
      <c r="F70" s="14"/>
      <c r="G70" s="14"/>
      <c r="H70" s="14"/>
      <c r="I70" s="14"/>
    </row>
    <row r="71" spans="6:9">
      <c r="F71" s="14"/>
      <c r="G71" s="14"/>
      <c r="H71" s="14"/>
      <c r="I71" s="14"/>
    </row>
    <row r="72" spans="6:9">
      <c r="F72" s="14"/>
      <c r="G72" s="14"/>
      <c r="H72" s="14"/>
      <c r="I72" s="14"/>
    </row>
    <row r="73" spans="6:9">
      <c r="F73" s="14"/>
      <c r="G73" s="14"/>
      <c r="H73" s="14"/>
      <c r="I73" s="14"/>
    </row>
    <row r="74" spans="6:9">
      <c r="F74" s="14"/>
    </row>
    <row r="75" spans="6:9">
      <c r="F75" s="14"/>
      <c r="G75" s="14"/>
      <c r="H75" s="14"/>
      <c r="I75" s="14"/>
    </row>
    <row r="78" spans="6:9">
      <c r="F78" s="14"/>
      <c r="G78" s="14"/>
      <c r="H78" s="14"/>
      <c r="I78" s="14"/>
    </row>
    <row r="79" spans="6:9">
      <c r="F79" s="14"/>
      <c r="G79" s="14"/>
      <c r="H79" s="14"/>
      <c r="I79" s="14"/>
    </row>
    <row r="80" spans="6:9">
      <c r="F80" s="14"/>
      <c r="G80" s="14"/>
      <c r="H80" s="14"/>
      <c r="I80" s="14"/>
    </row>
    <row r="81" spans="6:9">
      <c r="F81" s="14"/>
      <c r="G81" s="14"/>
      <c r="H81" s="14"/>
      <c r="I81" s="14"/>
    </row>
    <row r="82" spans="6:9">
      <c r="F82" s="14"/>
      <c r="G82" s="14"/>
      <c r="H82" s="14"/>
      <c r="I82" s="14"/>
    </row>
    <row r="83" spans="6:9">
      <c r="F83" s="14"/>
      <c r="G83" s="14"/>
      <c r="H83" s="14"/>
      <c r="I83" s="14"/>
    </row>
    <row r="87" spans="6:9">
      <c r="F87" s="14"/>
      <c r="G87" s="14"/>
      <c r="H87" s="14"/>
      <c r="I87" s="14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B33:I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C00000"/>
    <pageSetUpPr fitToPage="1"/>
  </sheetPr>
  <dimension ref="A1:K44"/>
  <sheetViews>
    <sheetView zoomScaleNormal="100" workbookViewId="0">
      <selection activeCell="K34" sqref="A8:K34"/>
    </sheetView>
  </sheetViews>
  <sheetFormatPr baseColWidth="10" defaultColWidth="11.5703125" defaultRowHeight="12"/>
  <cols>
    <col min="1" max="1" width="19" style="10" customWidth="1"/>
    <col min="2" max="5" width="16.42578125" style="18" customWidth="1"/>
    <col min="6" max="9" width="16.42578125" style="12" customWidth="1"/>
    <col min="10" max="11" width="16.42578125" style="10" customWidth="1"/>
    <col min="12" max="16384" width="11.5703125" style="10"/>
  </cols>
  <sheetData>
    <row r="1" spans="1:11" ht="15">
      <c r="A1" s="34" t="s">
        <v>235</v>
      </c>
    </row>
    <row r="2" spans="1:11" ht="15">
      <c r="A2" s="34" t="s">
        <v>124</v>
      </c>
    </row>
    <row r="3" spans="1:11">
      <c r="A3" s="33" t="s">
        <v>86</v>
      </c>
      <c r="G3" s="28"/>
      <c r="H3" s="28"/>
    </row>
    <row r="4" spans="1:11" s="54" customFormat="1">
      <c r="A4" s="58"/>
      <c r="B4" s="76"/>
      <c r="C4" s="76"/>
      <c r="D4" s="76"/>
      <c r="E4" s="76"/>
      <c r="F4" s="57"/>
      <c r="G4" s="77"/>
      <c r="H4" s="77"/>
      <c r="I4" s="57"/>
    </row>
    <row r="6" spans="1:11">
      <c r="E6" s="12"/>
    </row>
    <row r="7" spans="1:11">
      <c r="A7" s="186" t="s">
        <v>234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1885446.8577241739</v>
      </c>
      <c r="C8" s="36">
        <v>2604136.0375251225</v>
      </c>
      <c r="D8" s="36">
        <v>2802081.8990824148</v>
      </c>
      <c r="E8" s="36">
        <v>2758912.084381836</v>
      </c>
      <c r="F8" s="36">
        <v>2598937.7619712553</v>
      </c>
      <c r="G8" s="36">
        <v>1825791.6429200002</v>
      </c>
      <c r="H8" s="36">
        <v>1956936.3164799998</v>
      </c>
      <c r="I8" s="36">
        <v>2181076.9615000002</v>
      </c>
      <c r="J8" s="36">
        <v>1553502.3721999999</v>
      </c>
      <c r="K8" s="36">
        <v>151273.84519999998</v>
      </c>
    </row>
    <row r="9" spans="1:11">
      <c r="A9" s="33" t="s">
        <v>88</v>
      </c>
      <c r="B9" s="36">
        <v>7656222.469328573</v>
      </c>
      <c r="C9" s="36">
        <v>7271730.0195494294</v>
      </c>
      <c r="D9" s="36">
        <v>8097946.9850280313</v>
      </c>
      <c r="E9" s="36">
        <v>9392414.2086814065</v>
      </c>
      <c r="F9" s="36">
        <v>10256307.121006878</v>
      </c>
      <c r="G9" s="36">
        <v>12277707.738180002</v>
      </c>
      <c r="H9" s="36">
        <v>13685005.948799999</v>
      </c>
      <c r="I9" s="36">
        <v>16128823.085964302</v>
      </c>
      <c r="J9" s="36">
        <v>19098014.896213755</v>
      </c>
      <c r="K9" s="36">
        <v>1564768.1711999997</v>
      </c>
    </row>
    <row r="10" spans="1:11">
      <c r="A10" s="33" t="s">
        <v>89</v>
      </c>
      <c r="B10" s="36">
        <v>7312841.2329840008</v>
      </c>
      <c r="C10" s="36">
        <v>4901382.6419947008</v>
      </c>
      <c r="D10" s="36">
        <v>6571717.9971504146</v>
      </c>
      <c r="E10" s="36">
        <v>7718362.3780964613</v>
      </c>
      <c r="F10" s="36">
        <v>7755266.2230911357</v>
      </c>
      <c r="G10" s="36">
        <v>9241030.0819799993</v>
      </c>
      <c r="H10" s="36">
        <v>9635277.1273599993</v>
      </c>
      <c r="I10" s="36">
        <v>10886734.440749506</v>
      </c>
      <c r="J10" s="36">
        <v>12727727.68325145</v>
      </c>
      <c r="K10" s="36">
        <v>1508174.7128000001</v>
      </c>
    </row>
    <row r="11" spans="1:11">
      <c r="A11" s="33" t="s">
        <v>90</v>
      </c>
      <c r="B11" s="36">
        <v>11777471.507764734</v>
      </c>
      <c r="C11" s="36">
        <v>13171182.898758335</v>
      </c>
      <c r="D11" s="36">
        <v>17153291.72868719</v>
      </c>
      <c r="E11" s="36">
        <v>18448408.87328168</v>
      </c>
      <c r="F11" s="36">
        <v>18923925.400259413</v>
      </c>
      <c r="G11" s="36">
        <v>21230830.52208</v>
      </c>
      <c r="H11" s="36">
        <v>20798111.013280001</v>
      </c>
      <c r="I11" s="36">
        <v>25913730.64844257</v>
      </c>
      <c r="J11" s="36">
        <v>31496327.391209595</v>
      </c>
      <c r="K11" s="36">
        <v>2614025.5822000001</v>
      </c>
    </row>
    <row r="12" spans="1:11">
      <c r="A12" s="33" t="s">
        <v>91</v>
      </c>
      <c r="B12" s="36">
        <v>6863988.4434866421</v>
      </c>
      <c r="C12" s="36">
        <v>4986369.0543342577</v>
      </c>
      <c r="D12" s="36">
        <v>7957769.1972676329</v>
      </c>
      <c r="E12" s="36">
        <v>8454082.1447049789</v>
      </c>
      <c r="F12" s="36">
        <v>9082065.8306906074</v>
      </c>
      <c r="G12" s="36">
        <v>9929504.8179599997</v>
      </c>
      <c r="H12" s="36">
        <v>10169321.679839998</v>
      </c>
      <c r="I12" s="36">
        <v>11031189.389992861</v>
      </c>
      <c r="J12" s="36">
        <v>11082766.354011515</v>
      </c>
      <c r="K12" s="36">
        <v>1072766.4469999999</v>
      </c>
    </row>
    <row r="13" spans="1:11">
      <c r="A13" s="33" t="s">
        <v>92</v>
      </c>
      <c r="B13" s="36">
        <v>13324471.013770783</v>
      </c>
      <c r="C13" s="36">
        <v>13318849.086986749</v>
      </c>
      <c r="D13" s="36">
        <v>15049567.406510746</v>
      </c>
      <c r="E13" s="36">
        <v>15557516.712760732</v>
      </c>
      <c r="F13" s="36">
        <v>15852389.235077644</v>
      </c>
      <c r="G13" s="36">
        <v>15830478.344440002</v>
      </c>
      <c r="H13" s="36">
        <v>16642735.962239999</v>
      </c>
      <c r="I13" s="36">
        <v>17557258.990963858</v>
      </c>
      <c r="J13" s="36">
        <v>21977352.859856691</v>
      </c>
      <c r="K13" s="36">
        <v>1936636.0085999998</v>
      </c>
    </row>
    <row r="14" spans="1:11">
      <c r="A14" s="33" t="s">
        <v>93</v>
      </c>
      <c r="B14" s="36">
        <v>11300.060776316483</v>
      </c>
      <c r="C14" s="36">
        <v>11245.963526444284</v>
      </c>
      <c r="D14" s="36">
        <v>22428.265658171251</v>
      </c>
      <c r="E14" s="36">
        <v>5088.0357128230453</v>
      </c>
      <c r="F14" s="36">
        <v>7579.0649344109852</v>
      </c>
      <c r="G14" s="36">
        <v>17516.543239999999</v>
      </c>
      <c r="H14" s="36">
        <v>13644.296479999999</v>
      </c>
      <c r="I14" s="36">
        <v>32464.558280000001</v>
      </c>
      <c r="J14" s="36">
        <v>28794.993199999997</v>
      </c>
      <c r="K14" s="36">
        <v>733.5</v>
      </c>
    </row>
    <row r="15" spans="1:11">
      <c r="A15" s="33" t="s">
        <v>94</v>
      </c>
      <c r="B15" s="36">
        <v>8335537.8569511361</v>
      </c>
      <c r="C15" s="36">
        <v>8329096.1438863734</v>
      </c>
      <c r="D15" s="36">
        <v>7606100.1849861285</v>
      </c>
      <c r="E15" s="36">
        <v>9659696.4300015625</v>
      </c>
      <c r="F15" s="36">
        <v>10939122.498419806</v>
      </c>
      <c r="G15" s="36">
        <v>12387522.480200002</v>
      </c>
      <c r="H15" s="36">
        <v>11999324.112959998</v>
      </c>
      <c r="I15" s="36">
        <v>13624297.120202912</v>
      </c>
      <c r="J15" s="36">
        <v>16881595.995758295</v>
      </c>
      <c r="K15" s="36">
        <v>1311124.3062</v>
      </c>
    </row>
    <row r="16" spans="1:11">
      <c r="A16" s="33" t="s">
        <v>95</v>
      </c>
      <c r="B16" s="36">
        <v>5581649.2709796997</v>
      </c>
      <c r="C16" s="36">
        <v>5155731.3510648236</v>
      </c>
      <c r="D16" s="36">
        <v>5154738.7779010274</v>
      </c>
      <c r="E16" s="36">
        <v>7840591.8007516256</v>
      </c>
      <c r="F16" s="36">
        <v>7771474.6991853416</v>
      </c>
      <c r="G16" s="36">
        <v>8466063.7667800002</v>
      </c>
      <c r="H16" s="36">
        <v>8703169.9118399993</v>
      </c>
      <c r="I16" s="36">
        <v>9920096.3440767042</v>
      </c>
      <c r="J16" s="36">
        <v>10845170.553095507</v>
      </c>
      <c r="K16" s="36">
        <v>570217.71659999993</v>
      </c>
    </row>
    <row r="17" spans="1:11">
      <c r="A17" s="33" t="s">
        <v>96</v>
      </c>
      <c r="B17" s="36">
        <v>2463420.5479415776</v>
      </c>
      <c r="C17" s="36">
        <v>1329665.642055142</v>
      </c>
      <c r="D17" s="36">
        <v>1515454.0002538557</v>
      </c>
      <c r="E17" s="36">
        <v>1702369.8013526185</v>
      </c>
      <c r="F17" s="36">
        <v>2326784.9731547069</v>
      </c>
      <c r="G17" s="36">
        <v>2581905.7791999998</v>
      </c>
      <c r="H17" s="36">
        <v>2938348.1512000002</v>
      </c>
      <c r="I17" s="36">
        <v>3535871.7847857946</v>
      </c>
      <c r="J17" s="36">
        <v>3365550.1730587832</v>
      </c>
      <c r="K17" s="36">
        <v>169226.17619999999</v>
      </c>
    </row>
    <row r="18" spans="1:11">
      <c r="A18" s="33" t="s">
        <v>97</v>
      </c>
      <c r="B18" s="36">
        <v>3429872.9844797268</v>
      </c>
      <c r="C18" s="36">
        <v>3060716.5959932036</v>
      </c>
      <c r="D18" s="36">
        <v>4025571.4172085314</v>
      </c>
      <c r="E18" s="36">
        <v>4414770.3028009674</v>
      </c>
      <c r="F18" s="36">
        <v>3968745.9335675007</v>
      </c>
      <c r="G18" s="36">
        <v>5200478.4551406</v>
      </c>
      <c r="H18" s="36">
        <v>5010835.9271999998</v>
      </c>
      <c r="I18" s="36">
        <v>7247308.4467009911</v>
      </c>
      <c r="J18" s="36">
        <v>6947433.0747984387</v>
      </c>
      <c r="K18" s="36">
        <v>389309.06959999993</v>
      </c>
    </row>
    <row r="19" spans="1:11">
      <c r="A19" s="33" t="s">
        <v>98</v>
      </c>
      <c r="B19" s="36">
        <v>4444856.7729877736</v>
      </c>
      <c r="C19" s="36">
        <v>4159594.2536357469</v>
      </c>
      <c r="D19" s="36">
        <v>6139814.2762503335</v>
      </c>
      <c r="E19" s="36">
        <v>6393963.5306224655</v>
      </c>
      <c r="F19" s="36">
        <v>7345486.7249576561</v>
      </c>
      <c r="G19" s="36">
        <v>7856575.2497799993</v>
      </c>
      <c r="H19" s="36">
        <v>8534969.0248000007</v>
      </c>
      <c r="I19" s="36">
        <v>8708975.1152234748</v>
      </c>
      <c r="J19" s="36">
        <v>11553465.403522396</v>
      </c>
      <c r="K19" s="36">
        <v>2375724.7339999997</v>
      </c>
    </row>
    <row r="20" spans="1:11">
      <c r="A20" s="33" t="s">
        <v>99</v>
      </c>
      <c r="B20" s="36">
        <v>9710945.0055526961</v>
      </c>
      <c r="C20" s="36">
        <v>10380841.300382096</v>
      </c>
      <c r="D20" s="36">
        <v>11409208.843352167</v>
      </c>
      <c r="E20" s="36">
        <v>12095515.775883485</v>
      </c>
      <c r="F20" s="36">
        <v>13367456.898452088</v>
      </c>
      <c r="G20" s="36">
        <v>13543384.77472</v>
      </c>
      <c r="H20" s="36">
        <v>14627549.89536</v>
      </c>
      <c r="I20" s="36">
        <v>16296320.475885883</v>
      </c>
      <c r="J20" s="36">
        <v>17911957.774550453</v>
      </c>
      <c r="K20" s="36">
        <v>1739822.9719999998</v>
      </c>
    </row>
    <row r="21" spans="1:11">
      <c r="A21" s="33" t="s">
        <v>100</v>
      </c>
      <c r="B21" s="36">
        <v>1059665.7928002398</v>
      </c>
      <c r="C21" s="36">
        <v>1423706.9451710866</v>
      </c>
      <c r="D21" s="36">
        <v>1521519.8981679007</v>
      </c>
      <c r="E21" s="36">
        <v>1790986.4947222113</v>
      </c>
      <c r="F21" s="36">
        <v>1734978.9298764425</v>
      </c>
      <c r="G21" s="36">
        <v>1644525.1435400001</v>
      </c>
      <c r="H21" s="36">
        <v>2044499.3359999999</v>
      </c>
      <c r="I21" s="36">
        <v>2820409.0690200003</v>
      </c>
      <c r="J21" s="36">
        <v>2966129.0277999998</v>
      </c>
      <c r="K21" s="36">
        <v>274629.73499999999</v>
      </c>
    </row>
    <row r="22" spans="1:11">
      <c r="A22" s="33" t="s">
        <v>101</v>
      </c>
      <c r="B22" s="36">
        <v>7667101.5063055521</v>
      </c>
      <c r="C22" s="36">
        <v>7801763.2186738746</v>
      </c>
      <c r="D22" s="36">
        <v>9431368.2414579075</v>
      </c>
      <c r="E22" s="36">
        <v>11380129.476038987</v>
      </c>
      <c r="F22" s="36">
        <v>11202302.463171164</v>
      </c>
      <c r="G22" s="36">
        <v>12173083.610840002</v>
      </c>
      <c r="H22" s="36">
        <v>13035986.717759999</v>
      </c>
      <c r="I22" s="36">
        <v>15291867.604836276</v>
      </c>
      <c r="J22" s="36">
        <v>17669817.768113412</v>
      </c>
      <c r="K22" s="36">
        <v>1433892.1708</v>
      </c>
    </row>
    <row r="23" spans="1:11">
      <c r="A23" s="33" t="s">
        <v>102</v>
      </c>
      <c r="B23" s="36">
        <v>418151.15014961758</v>
      </c>
      <c r="C23" s="36">
        <v>477062.15524675179</v>
      </c>
      <c r="D23" s="36">
        <v>114580.23345233868</v>
      </c>
      <c r="E23" s="36">
        <v>488981.38280839717</v>
      </c>
      <c r="F23" s="36">
        <v>589887.75891903555</v>
      </c>
      <c r="G23" s="36">
        <v>414056.74178000004</v>
      </c>
      <c r="H23" s="36">
        <v>465466.93167999998</v>
      </c>
      <c r="I23" s="36">
        <v>486812.70973999996</v>
      </c>
      <c r="J23" s="36">
        <v>105507.45499999999</v>
      </c>
      <c r="K23" s="36"/>
    </row>
    <row r="24" spans="1:11">
      <c r="A24" s="33" t="s">
        <v>103</v>
      </c>
      <c r="B24" s="36">
        <v>1503559.6201049828</v>
      </c>
      <c r="C24" s="36">
        <v>1815498.6870035345</v>
      </c>
      <c r="D24" s="36">
        <v>1929867.6567431935</v>
      </c>
      <c r="E24" s="36">
        <v>2087314.4489031448</v>
      </c>
      <c r="F24" s="36">
        <v>2339768.8466951731</v>
      </c>
      <c r="G24" s="36">
        <v>3449171.4610600001</v>
      </c>
      <c r="H24" s="36">
        <v>3695676.7881599995</v>
      </c>
      <c r="I24" s="36">
        <v>5477205.2553400006</v>
      </c>
      <c r="J24" s="36">
        <v>6487307.2529999996</v>
      </c>
      <c r="K24" s="36">
        <v>325659.00400000002</v>
      </c>
    </row>
    <row r="25" spans="1:11">
      <c r="A25" s="33" t="s">
        <v>104</v>
      </c>
      <c r="B25" s="36">
        <v>3869806.3761030934</v>
      </c>
      <c r="C25" s="36">
        <v>5234421.1746665835</v>
      </c>
      <c r="D25" s="36">
        <v>5892959.7344155908</v>
      </c>
      <c r="E25" s="36">
        <v>5043318.7105122404</v>
      </c>
      <c r="F25" s="36">
        <v>7083829.589219776</v>
      </c>
      <c r="G25" s="36">
        <v>6106276.6426799996</v>
      </c>
      <c r="H25" s="36">
        <v>5141307.7097599991</v>
      </c>
      <c r="I25" s="36">
        <v>4226999.2460777536</v>
      </c>
      <c r="J25" s="36">
        <v>5399259.2478026208</v>
      </c>
      <c r="K25" s="36">
        <v>862067.4561999999</v>
      </c>
    </row>
    <row r="26" spans="1:11">
      <c r="A26" s="33" t="s">
        <v>105</v>
      </c>
      <c r="B26" s="36">
        <v>3960317.6947935098</v>
      </c>
      <c r="C26" s="36">
        <v>3923245.1533731665</v>
      </c>
      <c r="D26" s="36">
        <v>4310321.7462664228</v>
      </c>
      <c r="E26" s="36">
        <v>4398577.190780038</v>
      </c>
      <c r="F26" s="36">
        <v>5657187.9169113589</v>
      </c>
      <c r="G26" s="36">
        <v>6066630.1240999997</v>
      </c>
      <c r="H26" s="36">
        <v>6336432.3414399996</v>
      </c>
      <c r="I26" s="36">
        <v>7168904.5220202953</v>
      </c>
      <c r="J26" s="36">
        <v>9040124.863637343</v>
      </c>
      <c r="K26" s="36">
        <v>945729.30319999997</v>
      </c>
    </row>
    <row r="27" spans="1:11">
      <c r="A27" s="33" t="s">
        <v>106</v>
      </c>
      <c r="B27" s="36">
        <v>5402052.7953502769</v>
      </c>
      <c r="C27" s="36">
        <v>5344138.6462381808</v>
      </c>
      <c r="D27" s="36">
        <v>5285281.432479511</v>
      </c>
      <c r="E27" s="36">
        <v>5159013.5264978996</v>
      </c>
      <c r="F27" s="36">
        <v>6323145.0950636603</v>
      </c>
      <c r="G27" s="36">
        <v>6287323.9515400007</v>
      </c>
      <c r="H27" s="36">
        <v>7264707.2099199994</v>
      </c>
      <c r="I27" s="36">
        <v>8552181.8688560091</v>
      </c>
      <c r="J27" s="36">
        <v>7859622.1596505083</v>
      </c>
      <c r="K27" s="36">
        <v>590158.77800000005</v>
      </c>
    </row>
    <row r="28" spans="1:11">
      <c r="A28" s="33" t="s">
        <v>107</v>
      </c>
      <c r="B28" s="36">
        <v>7046240.7818319406</v>
      </c>
      <c r="C28" s="36">
        <v>7291241.7582965214</v>
      </c>
      <c r="D28" s="36">
        <v>14325726.961119816</v>
      </c>
      <c r="E28" s="36">
        <v>13516184.16526149</v>
      </c>
      <c r="F28" s="36">
        <v>13686427.053516259</v>
      </c>
      <c r="G28" s="36">
        <v>10491345.324599998</v>
      </c>
      <c r="H28" s="36">
        <v>11003674.13136</v>
      </c>
      <c r="I28" s="36">
        <v>13574740.937457208</v>
      </c>
      <c r="J28" s="36">
        <v>15271857.079606745</v>
      </c>
      <c r="K28" s="36">
        <v>1926514.3385999999</v>
      </c>
    </row>
    <row r="29" spans="1:11">
      <c r="A29" s="33" t="s">
        <v>108</v>
      </c>
      <c r="B29" s="36">
        <v>1033820.424048265</v>
      </c>
      <c r="C29" s="36">
        <v>664529.97573027725</v>
      </c>
      <c r="D29" s="36">
        <v>927993.41310510365</v>
      </c>
      <c r="E29" s="36">
        <v>869382.4310984239</v>
      </c>
      <c r="F29" s="36">
        <v>949736.02802175866</v>
      </c>
      <c r="G29" s="36">
        <v>913443.64188000001</v>
      </c>
      <c r="H29" s="36">
        <v>2103074.92368</v>
      </c>
      <c r="I29" s="36">
        <v>1017700.4660600001</v>
      </c>
      <c r="J29" s="36">
        <v>1363104.8432</v>
      </c>
      <c r="K29" s="36">
        <v>17970.75</v>
      </c>
    </row>
    <row r="30" spans="1:11">
      <c r="A30" s="33" t="s">
        <v>109</v>
      </c>
      <c r="B30" s="36">
        <v>3146142.814792308</v>
      </c>
      <c r="C30" s="36">
        <v>3207876.5915867663</v>
      </c>
      <c r="D30" s="36">
        <v>4802513.511701487</v>
      </c>
      <c r="E30" s="36">
        <v>4102959.3104283637</v>
      </c>
      <c r="F30" s="36">
        <v>4833596.6362122968</v>
      </c>
      <c r="G30" s="36">
        <v>4411779.5142200002</v>
      </c>
      <c r="H30" s="36">
        <v>5212809.5318400003</v>
      </c>
      <c r="I30" s="36">
        <v>6004016.6466623656</v>
      </c>
      <c r="J30" s="36">
        <v>6718108.9049864821</v>
      </c>
      <c r="K30" s="36">
        <v>1518089.959</v>
      </c>
    </row>
    <row r="31" spans="1:11">
      <c r="A31" s="33" t="s">
        <v>110</v>
      </c>
      <c r="B31" s="36">
        <v>11310.414307878293</v>
      </c>
      <c r="C31" s="36">
        <v>12014.912377266814</v>
      </c>
      <c r="D31" s="36">
        <v>19463.666679419461</v>
      </c>
      <c r="E31" s="36">
        <v>19455.877442696172</v>
      </c>
      <c r="F31" s="36">
        <v>43553.030509609976</v>
      </c>
      <c r="G31" s="36">
        <v>55096.25740000001</v>
      </c>
      <c r="H31" s="36">
        <v>56406.394079999998</v>
      </c>
      <c r="I31" s="36">
        <v>56161.129980000005</v>
      </c>
      <c r="J31" s="36">
        <v>68215.5</v>
      </c>
      <c r="K31" s="36">
        <v>35778.5</v>
      </c>
    </row>
    <row r="32" spans="1:11">
      <c r="A32" s="33" t="s">
        <v>111</v>
      </c>
      <c r="B32" s="36">
        <v>28699.609274904571</v>
      </c>
      <c r="C32" s="36">
        <v>25915.892184152653</v>
      </c>
      <c r="D32" s="36">
        <v>46904.923492221176</v>
      </c>
      <c r="E32" s="36">
        <v>35251.343504267919</v>
      </c>
      <c r="F32" s="36">
        <v>74048.562939078285</v>
      </c>
      <c r="G32" s="36">
        <v>37294.849779999997</v>
      </c>
      <c r="H32" s="36">
        <v>40275</v>
      </c>
      <c r="I32" s="36">
        <v>41359.83698</v>
      </c>
      <c r="J32" s="36">
        <v>20881.832200000001</v>
      </c>
      <c r="K32" s="36"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</row>
    <row r="34" spans="1:11">
      <c r="A34" s="35" t="s">
        <v>112</v>
      </c>
      <c r="B34" s="37">
        <f t="shared" ref="B34:G34" si="0">SUM(B8:B32)</f>
        <v>117944893.00459036</v>
      </c>
      <c r="C34" s="37">
        <f t="shared" si="0"/>
        <v>115901956.10024057</v>
      </c>
      <c r="D34" s="37">
        <f t="shared" si="0"/>
        <v>142114192.39841759</v>
      </c>
      <c r="E34" s="37">
        <f t="shared" si="0"/>
        <v>153333246.43703079</v>
      </c>
      <c r="F34" s="37">
        <f t="shared" si="0"/>
        <v>164714004.27582407</v>
      </c>
      <c r="G34" s="37">
        <f t="shared" si="0"/>
        <v>172438817.46004063</v>
      </c>
      <c r="H34" s="37">
        <f>SUM(H8:H32)</f>
        <v>181115546.38351998</v>
      </c>
      <c r="I34" s="37">
        <f>SUM(I8:I32)</f>
        <v>207782506.65579879</v>
      </c>
      <c r="J34" s="37">
        <f>SUM(J8:J32)</f>
        <v>238439595.45972392</v>
      </c>
      <c r="K34" s="37">
        <f>SUM(K8:K32)</f>
        <v>23334293.236399993</v>
      </c>
    </row>
    <row r="35" spans="1:11">
      <c r="B35" s="10"/>
      <c r="C35" s="10"/>
      <c r="D35" s="10"/>
      <c r="E35" s="216"/>
      <c r="F35" s="216"/>
      <c r="G35" s="216"/>
      <c r="H35" s="216"/>
      <c r="I35" s="216"/>
      <c r="J35" s="216"/>
    </row>
    <row r="37" spans="1:11">
      <c r="I37" s="224"/>
      <c r="J37" s="60"/>
    </row>
    <row r="38" spans="1:11">
      <c r="J38" s="60"/>
    </row>
    <row r="39" spans="1:11">
      <c r="J39" s="6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</row>
    <row r="43" spans="1:11">
      <c r="A43" s="10" t="s">
        <v>407</v>
      </c>
    </row>
    <row r="44" spans="1:11">
      <c r="A44" s="10" t="s">
        <v>158</v>
      </c>
    </row>
  </sheetData>
  <pageMargins left="0.7" right="0.7" top="0.75" bottom="0.75" header="0.3" footer="0.3"/>
  <pageSetup scale="33" orientation="landscape" r:id="rId1"/>
  <ignoredErrors>
    <ignoredError sqref="B34:J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94"/>
  <sheetViews>
    <sheetView topLeftCell="A67" zoomScale="130" zoomScaleNormal="130" workbookViewId="0">
      <selection activeCell="D89" sqref="D89:H89"/>
    </sheetView>
  </sheetViews>
  <sheetFormatPr baseColWidth="10" defaultRowHeight="15"/>
  <sheetData>
    <row r="2" spans="2:8">
      <c r="B2" s="548" t="s">
        <v>389</v>
      </c>
      <c r="C2" s="548"/>
      <c r="D2" s="548"/>
      <c r="E2" s="548"/>
      <c r="F2" s="548"/>
      <c r="G2" s="548"/>
    </row>
    <row r="3" spans="2:8">
      <c r="B3" s="548" t="s">
        <v>253</v>
      </c>
      <c r="C3" s="548"/>
      <c r="D3" s="548"/>
      <c r="E3" s="548"/>
      <c r="F3" s="548"/>
      <c r="G3" s="548"/>
    </row>
    <row r="5" spans="2:8" ht="33.75">
      <c r="B5" s="200"/>
      <c r="C5" s="201" t="s">
        <v>254</v>
      </c>
      <c r="D5" s="200" t="s">
        <v>255</v>
      </c>
      <c r="E5" s="200" t="s">
        <v>256</v>
      </c>
      <c r="F5" s="202" t="s">
        <v>257</v>
      </c>
      <c r="G5" s="202" t="s">
        <v>258</v>
      </c>
      <c r="H5" s="202" t="s">
        <v>113</v>
      </c>
    </row>
    <row r="8" spans="2:8">
      <c r="B8" s="159">
        <v>2011</v>
      </c>
      <c r="C8" s="160" t="s">
        <v>259</v>
      </c>
      <c r="D8" s="161" t="s">
        <v>260</v>
      </c>
      <c r="E8" s="161">
        <v>74.252005180000012</v>
      </c>
      <c r="F8" s="161" t="s">
        <v>85</v>
      </c>
      <c r="G8" s="162" t="s">
        <v>85</v>
      </c>
      <c r="H8" s="162">
        <f>SUM(D8:G8)</f>
        <v>74.252005180000012</v>
      </c>
    </row>
    <row r="9" spans="2:8">
      <c r="B9" s="163"/>
      <c r="C9" s="164" t="s">
        <v>261</v>
      </c>
      <c r="D9" s="165">
        <v>5.07822101</v>
      </c>
      <c r="E9" s="165">
        <v>70.916692009999991</v>
      </c>
      <c r="F9" s="165">
        <v>5.4546779699999997</v>
      </c>
      <c r="G9" s="166" t="s">
        <v>85</v>
      </c>
      <c r="H9" s="166">
        <f t="shared" ref="H9:H61" si="0">SUM(D9:G9)</f>
        <v>81.44959098999999</v>
      </c>
    </row>
    <row r="10" spans="2:8">
      <c r="B10" s="167"/>
      <c r="C10" s="168" t="s">
        <v>262</v>
      </c>
      <c r="D10" s="169">
        <v>53.582341989999996</v>
      </c>
      <c r="E10" s="169">
        <v>0.95393199000000006</v>
      </c>
      <c r="F10" s="169">
        <v>65.223550990000007</v>
      </c>
      <c r="G10" s="170">
        <v>135.62538000999999</v>
      </c>
      <c r="H10" s="170">
        <f t="shared" si="0"/>
        <v>255.38520498</v>
      </c>
    </row>
    <row r="11" spans="2:8">
      <c r="B11" s="264"/>
      <c r="C11" s="262" t="s">
        <v>113</v>
      </c>
      <c r="D11" s="265">
        <f>SUM(D8:D10)</f>
        <v>58.660562999999996</v>
      </c>
      <c r="E11" s="265">
        <f t="shared" ref="E11:G11" si="1">SUM(E8:E10)</f>
        <v>146.12262917999999</v>
      </c>
      <c r="F11" s="265">
        <f t="shared" si="1"/>
        <v>70.678228960000013</v>
      </c>
      <c r="G11" s="265">
        <f t="shared" si="1"/>
        <v>135.62538000999999</v>
      </c>
      <c r="H11" s="265">
        <f t="shared" si="0"/>
        <v>411.08680114999993</v>
      </c>
    </row>
    <row r="12" spans="2:8">
      <c r="B12" s="159">
        <v>2012</v>
      </c>
      <c r="C12" s="160" t="s">
        <v>263</v>
      </c>
      <c r="D12" s="161">
        <v>62.824097009999996</v>
      </c>
      <c r="E12" s="161">
        <v>4.1418440200000006</v>
      </c>
      <c r="F12" s="161">
        <v>74.358613950000006</v>
      </c>
      <c r="G12" s="162">
        <v>81.362797069999985</v>
      </c>
      <c r="H12" s="162">
        <f t="shared" si="0"/>
        <v>222.68735205000002</v>
      </c>
    </row>
    <row r="13" spans="2:8">
      <c r="B13" s="163"/>
      <c r="C13" s="164" t="s">
        <v>264</v>
      </c>
      <c r="D13" s="165">
        <v>48.167363980000005</v>
      </c>
      <c r="E13" s="165">
        <v>0.10188</v>
      </c>
      <c r="F13" s="165">
        <v>60.340161020000004</v>
      </c>
      <c r="G13" s="166">
        <v>48.651877030000001</v>
      </c>
      <c r="H13" s="166">
        <f t="shared" si="0"/>
        <v>157.26128203000002</v>
      </c>
    </row>
    <row r="14" spans="2:8">
      <c r="B14" s="163"/>
      <c r="C14" s="164" t="s">
        <v>265</v>
      </c>
      <c r="D14" s="165">
        <v>9.1524989899999998</v>
      </c>
      <c r="E14" s="165">
        <v>0.37464199999999998</v>
      </c>
      <c r="F14" s="165">
        <v>9.9011580099999996</v>
      </c>
      <c r="G14" s="166">
        <v>63.045594969999996</v>
      </c>
      <c r="H14" s="166">
        <f t="shared" si="0"/>
        <v>82.473893969999992</v>
      </c>
    </row>
    <row r="15" spans="2:8">
      <c r="B15" s="163"/>
      <c r="C15" s="164" t="s">
        <v>266</v>
      </c>
      <c r="D15" s="165" t="s">
        <v>260</v>
      </c>
      <c r="E15" s="165">
        <v>0.65635500000000002</v>
      </c>
      <c r="F15" s="165" t="s">
        <v>85</v>
      </c>
      <c r="G15" s="166" t="s">
        <v>85</v>
      </c>
      <c r="H15" s="166">
        <f t="shared" si="0"/>
        <v>0.65635500000000002</v>
      </c>
    </row>
    <row r="16" spans="2:8">
      <c r="B16" s="163"/>
      <c r="C16" s="164" t="s">
        <v>267</v>
      </c>
      <c r="D16" s="165">
        <v>39.030414999999998</v>
      </c>
      <c r="E16" s="165">
        <v>1.0892379699999999</v>
      </c>
      <c r="F16" s="165">
        <v>49.080779019999994</v>
      </c>
      <c r="G16" s="166">
        <v>145.60501001</v>
      </c>
      <c r="H16" s="166">
        <f t="shared" si="0"/>
        <v>234.805442</v>
      </c>
    </row>
    <row r="17" spans="2:8">
      <c r="B17" s="163"/>
      <c r="C17" s="164" t="s">
        <v>268</v>
      </c>
      <c r="D17" s="165">
        <v>79.399479990000003</v>
      </c>
      <c r="E17" s="165">
        <v>0.66559897000000001</v>
      </c>
      <c r="F17" s="165">
        <v>102.48355596000002</v>
      </c>
      <c r="G17" s="166">
        <v>107.716645</v>
      </c>
      <c r="H17" s="166">
        <f t="shared" si="0"/>
        <v>290.26527992000001</v>
      </c>
    </row>
    <row r="18" spans="2:8">
      <c r="B18" s="163"/>
      <c r="C18" s="164" t="s">
        <v>269</v>
      </c>
      <c r="D18" s="165" t="s">
        <v>260</v>
      </c>
      <c r="E18" s="165">
        <v>0.35561801999999998</v>
      </c>
      <c r="F18" s="165">
        <v>0.39148200000000005</v>
      </c>
      <c r="G18" s="166" t="s">
        <v>85</v>
      </c>
      <c r="H18" s="166">
        <f t="shared" si="0"/>
        <v>0.74710001999999998</v>
      </c>
    </row>
    <row r="19" spans="2:8">
      <c r="B19" s="163"/>
      <c r="C19" s="164" t="s">
        <v>270</v>
      </c>
      <c r="D19" s="165">
        <v>18.247289000000002</v>
      </c>
      <c r="E19" s="165">
        <v>1.148998</v>
      </c>
      <c r="F19" s="165">
        <v>25.069594939999998</v>
      </c>
      <c r="G19" s="166" t="s">
        <v>85</v>
      </c>
      <c r="H19" s="166">
        <f t="shared" si="0"/>
        <v>44.465881940000003</v>
      </c>
    </row>
    <row r="20" spans="2:8">
      <c r="B20" s="163"/>
      <c r="C20" s="164" t="s">
        <v>271</v>
      </c>
      <c r="D20" s="165">
        <v>96.126011009999985</v>
      </c>
      <c r="E20" s="165">
        <v>1.207028</v>
      </c>
      <c r="F20" s="165">
        <v>124.00815412</v>
      </c>
      <c r="G20" s="166">
        <v>274.66685699999999</v>
      </c>
      <c r="H20" s="166">
        <f t="shared" si="0"/>
        <v>496.00805012999996</v>
      </c>
    </row>
    <row r="21" spans="2:8">
      <c r="B21" s="163"/>
      <c r="C21" s="164" t="s">
        <v>259</v>
      </c>
      <c r="D21" s="165" t="s">
        <v>260</v>
      </c>
      <c r="E21" s="165">
        <v>1.6384880000000002</v>
      </c>
      <c r="F21" s="165" t="s">
        <v>85</v>
      </c>
      <c r="G21" s="166" t="s">
        <v>85</v>
      </c>
      <c r="H21" s="166">
        <f t="shared" si="0"/>
        <v>1.6384880000000002</v>
      </c>
    </row>
    <row r="22" spans="2:8">
      <c r="B22" s="163"/>
      <c r="C22" s="164" t="s">
        <v>261</v>
      </c>
      <c r="D22" s="165">
        <v>37.156631010000005</v>
      </c>
      <c r="E22" s="165">
        <v>1.271609</v>
      </c>
      <c r="F22" s="165">
        <v>54.745559030000003</v>
      </c>
      <c r="G22" s="166" t="s">
        <v>85</v>
      </c>
      <c r="H22" s="166">
        <f t="shared" si="0"/>
        <v>93.173799040000006</v>
      </c>
    </row>
    <row r="23" spans="2:8">
      <c r="B23" s="167"/>
      <c r="C23" s="168" t="s">
        <v>272</v>
      </c>
      <c r="D23" s="169">
        <v>51.55153301</v>
      </c>
      <c r="E23" s="169">
        <v>5.9597000000000004E-2</v>
      </c>
      <c r="F23" s="169">
        <v>71.292634950000007</v>
      </c>
      <c r="G23" s="170">
        <v>220.61931699000002</v>
      </c>
      <c r="H23" s="170">
        <f t="shared" si="0"/>
        <v>343.52308195000001</v>
      </c>
    </row>
    <row r="24" spans="2:8">
      <c r="B24" s="264"/>
      <c r="C24" s="262" t="s">
        <v>113</v>
      </c>
      <c r="D24" s="265">
        <f>SUM(D12:D23)</f>
        <v>441.65531900000008</v>
      </c>
      <c r="E24" s="265">
        <f t="shared" ref="E24:G24" si="2">SUM(E12:E23)</f>
        <v>12.710895980000002</v>
      </c>
      <c r="F24" s="265">
        <f t="shared" si="2"/>
        <v>571.671693</v>
      </c>
      <c r="G24" s="265">
        <f t="shared" si="2"/>
        <v>941.66809807000004</v>
      </c>
      <c r="H24" s="265">
        <f t="shared" si="0"/>
        <v>1967.70600605</v>
      </c>
    </row>
    <row r="25" spans="2:8">
      <c r="B25" s="159">
        <v>2013</v>
      </c>
      <c r="C25" s="160" t="s">
        <v>263</v>
      </c>
      <c r="D25" s="161">
        <v>7.6820100000000004E-3</v>
      </c>
      <c r="E25" s="161">
        <v>1.6654300100000001</v>
      </c>
      <c r="F25" s="161">
        <v>0.67418499999999992</v>
      </c>
      <c r="G25" s="162">
        <v>0</v>
      </c>
      <c r="H25" s="162">
        <f t="shared" si="0"/>
        <v>2.3472970200000001</v>
      </c>
    </row>
    <row r="26" spans="2:8">
      <c r="B26" s="163"/>
      <c r="C26" s="164" t="s">
        <v>264</v>
      </c>
      <c r="D26" s="165">
        <v>21.660934000000001</v>
      </c>
      <c r="E26" s="165">
        <v>2.360214</v>
      </c>
      <c r="F26" s="165">
        <v>33.753632039999999</v>
      </c>
      <c r="G26" s="166">
        <v>5.4566549999999996</v>
      </c>
      <c r="H26" s="166">
        <f t="shared" si="0"/>
        <v>63.231435039999994</v>
      </c>
    </row>
    <row r="27" spans="2:8">
      <c r="B27" s="163"/>
      <c r="C27" s="164" t="s">
        <v>265</v>
      </c>
      <c r="D27" s="165">
        <v>65.725545979999993</v>
      </c>
      <c r="E27" s="165">
        <v>1.359478</v>
      </c>
      <c r="F27" s="165">
        <v>90.361466989999997</v>
      </c>
      <c r="G27" s="166">
        <v>293.31292001999998</v>
      </c>
      <c r="H27" s="166">
        <f t="shared" si="0"/>
        <v>450.75941098999999</v>
      </c>
    </row>
    <row r="28" spans="2:8">
      <c r="B28" s="163"/>
      <c r="C28" s="164" t="s">
        <v>221</v>
      </c>
      <c r="D28" s="165">
        <v>1.3670899599999999</v>
      </c>
      <c r="E28" s="165">
        <v>0.489813</v>
      </c>
      <c r="F28" s="165">
        <v>0.87217999999999996</v>
      </c>
      <c r="G28" s="166">
        <v>1.9000000000000001E-5</v>
      </c>
      <c r="H28" s="166">
        <f t="shared" si="0"/>
        <v>2.7291019599999999</v>
      </c>
    </row>
    <row r="29" spans="2:8">
      <c r="B29" s="163"/>
      <c r="C29" s="164" t="s">
        <v>267</v>
      </c>
      <c r="D29" s="165">
        <v>23.826887970000001</v>
      </c>
      <c r="E29" s="165">
        <v>0.68775702000000005</v>
      </c>
      <c r="F29" s="165">
        <v>34.449959069999998</v>
      </c>
      <c r="G29" s="166">
        <v>132.62300809000001</v>
      </c>
      <c r="H29" s="166">
        <f t="shared" si="0"/>
        <v>191.58761215000001</v>
      </c>
    </row>
    <row r="30" spans="2:8">
      <c r="B30" s="163"/>
      <c r="C30" s="164" t="s">
        <v>268</v>
      </c>
      <c r="D30" s="165">
        <v>73.42502300999999</v>
      </c>
      <c r="E30" s="165">
        <v>0.47390100000000002</v>
      </c>
      <c r="F30" s="165">
        <v>112.57678302000001</v>
      </c>
      <c r="G30" s="166">
        <v>20.224245</v>
      </c>
      <c r="H30" s="166">
        <f t="shared" si="0"/>
        <v>206.69995202999999</v>
      </c>
    </row>
    <row r="31" spans="2:8">
      <c r="B31" s="163"/>
      <c r="C31" s="164" t="s">
        <v>269</v>
      </c>
      <c r="D31" s="165">
        <v>0</v>
      </c>
      <c r="E31" s="165">
        <v>0.63022696999999994</v>
      </c>
      <c r="F31" s="165">
        <v>0.32477</v>
      </c>
      <c r="G31" s="166">
        <v>0</v>
      </c>
      <c r="H31" s="166">
        <f t="shared" si="0"/>
        <v>0.95499696999999995</v>
      </c>
    </row>
    <row r="32" spans="2:8">
      <c r="B32" s="163"/>
      <c r="C32" s="164" t="s">
        <v>273</v>
      </c>
      <c r="D32" s="165">
        <v>25.174167000000001</v>
      </c>
      <c r="E32" s="165">
        <v>0.69820694999999999</v>
      </c>
      <c r="F32" s="165">
        <v>45.54200307</v>
      </c>
      <c r="G32" s="166">
        <v>72.417529980000012</v>
      </c>
      <c r="H32" s="166">
        <f t="shared" si="0"/>
        <v>143.831907</v>
      </c>
    </row>
    <row r="33" spans="2:8">
      <c r="B33" s="163"/>
      <c r="C33" s="164" t="s">
        <v>274</v>
      </c>
      <c r="D33" s="165">
        <v>41.106206010000008</v>
      </c>
      <c r="E33" s="165">
        <v>0.65959699999999999</v>
      </c>
      <c r="F33" s="165">
        <v>60.56780002</v>
      </c>
      <c r="G33" s="166">
        <v>96.463214010000016</v>
      </c>
      <c r="H33" s="166">
        <f t="shared" si="0"/>
        <v>198.79681704000001</v>
      </c>
    </row>
    <row r="34" spans="2:8">
      <c r="B34" s="163"/>
      <c r="C34" s="164" t="s">
        <v>275</v>
      </c>
      <c r="D34" s="165">
        <v>3.9786000000000002E-2</v>
      </c>
      <c r="E34" s="165">
        <v>0.80451007999999991</v>
      </c>
      <c r="F34" s="165">
        <v>1.1600559499999998</v>
      </c>
      <c r="G34" s="166">
        <v>0.2</v>
      </c>
      <c r="H34" s="166">
        <f t="shared" si="0"/>
        <v>2.2043520299999999</v>
      </c>
    </row>
    <row r="35" spans="2:8">
      <c r="B35" s="163"/>
      <c r="C35" s="164" t="s">
        <v>261</v>
      </c>
      <c r="D35" s="165">
        <v>13.09331203</v>
      </c>
      <c r="E35" s="165">
        <v>0.6853490000000001</v>
      </c>
      <c r="F35" s="165">
        <v>20.488748059999999</v>
      </c>
      <c r="G35" s="166">
        <v>178.25462704</v>
      </c>
      <c r="H35" s="166">
        <f t="shared" si="0"/>
        <v>212.52203613</v>
      </c>
    </row>
    <row r="36" spans="2:8">
      <c r="B36" s="167"/>
      <c r="C36" s="168" t="s">
        <v>262</v>
      </c>
      <c r="D36" s="169">
        <v>71.55782400999999</v>
      </c>
      <c r="E36" s="169">
        <v>1.3957080000000002</v>
      </c>
      <c r="F36" s="169">
        <v>104.59380802</v>
      </c>
      <c r="G36" s="170">
        <v>10.52248393</v>
      </c>
      <c r="H36" s="170">
        <f t="shared" si="0"/>
        <v>188.06982395999998</v>
      </c>
    </row>
    <row r="37" spans="2:8">
      <c r="B37" s="264"/>
      <c r="C37" s="262" t="s">
        <v>113</v>
      </c>
      <c r="D37" s="265">
        <f>SUM(D25:D36)</f>
        <v>336.98445797999995</v>
      </c>
      <c r="E37" s="265">
        <f t="shared" ref="E37:G37" si="3">SUM(E25:E36)</f>
        <v>11.910191030000002</v>
      </c>
      <c r="F37" s="265">
        <f t="shared" si="3"/>
        <v>505.36539124000001</v>
      </c>
      <c r="G37" s="265">
        <f t="shared" si="3"/>
        <v>809.47470207000003</v>
      </c>
      <c r="H37" s="265">
        <f t="shared" si="0"/>
        <v>1663.7347423199999</v>
      </c>
    </row>
    <row r="38" spans="2:8">
      <c r="B38" s="159">
        <v>2014</v>
      </c>
      <c r="C38" s="160" t="s">
        <v>263</v>
      </c>
      <c r="D38" s="161" t="s">
        <v>85</v>
      </c>
      <c r="E38" s="161">
        <v>1.3267860900000001</v>
      </c>
      <c r="F38" s="161" t="s">
        <v>85</v>
      </c>
      <c r="G38" s="162" t="s">
        <v>85</v>
      </c>
      <c r="H38" s="162">
        <f t="shared" si="0"/>
        <v>1.3267860900000001</v>
      </c>
    </row>
    <row r="39" spans="2:8">
      <c r="B39" s="163"/>
      <c r="C39" s="164" t="s">
        <v>264</v>
      </c>
      <c r="D39" s="165">
        <v>10.899421019999998</v>
      </c>
      <c r="E39" s="165">
        <v>0.32034800000000002</v>
      </c>
      <c r="F39" s="165">
        <v>15.217180990000001</v>
      </c>
      <c r="G39" s="166">
        <v>55.58428601</v>
      </c>
      <c r="H39" s="166">
        <f t="shared" si="0"/>
        <v>82.021236020000003</v>
      </c>
    </row>
    <row r="40" spans="2:8">
      <c r="B40" s="163"/>
      <c r="C40" s="164" t="s">
        <v>265</v>
      </c>
      <c r="D40" s="165">
        <v>61.024490990000004</v>
      </c>
      <c r="E40" s="165">
        <v>0.82191999999999998</v>
      </c>
      <c r="F40" s="165">
        <v>98.17055302</v>
      </c>
      <c r="G40" s="166">
        <v>182.77540000999997</v>
      </c>
      <c r="H40" s="166">
        <f t="shared" si="0"/>
        <v>342.79236401999998</v>
      </c>
    </row>
    <row r="41" spans="2:8">
      <c r="B41" s="163"/>
      <c r="C41" s="164" t="s">
        <v>266</v>
      </c>
      <c r="D41" s="165">
        <v>3.6859999999999997E-2</v>
      </c>
      <c r="E41" s="165">
        <v>0.92506001000000004</v>
      </c>
      <c r="F41" s="165">
        <v>7.8101000000000004E-2</v>
      </c>
      <c r="G41" s="166">
        <v>3.8099999999999999E-4</v>
      </c>
      <c r="H41" s="166">
        <f t="shared" si="0"/>
        <v>1.04040201</v>
      </c>
    </row>
    <row r="42" spans="2:8">
      <c r="B42" s="163"/>
      <c r="C42" s="164" t="s">
        <v>267</v>
      </c>
      <c r="D42" s="165">
        <v>38.302218000000018</v>
      </c>
      <c r="E42" s="165">
        <v>42.345388</v>
      </c>
      <c r="F42" s="165">
        <v>54.057368050000008</v>
      </c>
      <c r="G42" s="166">
        <v>1.9800000000000002E-4</v>
      </c>
      <c r="H42" s="166">
        <f t="shared" si="0"/>
        <v>134.70517205000004</v>
      </c>
    </row>
    <row r="43" spans="2:8">
      <c r="B43" s="163"/>
      <c r="C43" s="164" t="s">
        <v>268</v>
      </c>
      <c r="D43" s="165">
        <v>64.771010009999998</v>
      </c>
      <c r="E43" s="165">
        <v>10.538568999999999</v>
      </c>
      <c r="F43" s="165">
        <v>88.058616010000009</v>
      </c>
      <c r="G43" s="166">
        <v>101.32263998000001</v>
      </c>
      <c r="H43" s="166">
        <f t="shared" si="0"/>
        <v>264.69083499999999</v>
      </c>
    </row>
    <row r="44" spans="2:8">
      <c r="B44" s="163"/>
      <c r="C44" s="164" t="s">
        <v>269</v>
      </c>
      <c r="D44" s="165" t="s">
        <v>85</v>
      </c>
      <c r="E44" s="165">
        <v>0.33582699999999999</v>
      </c>
      <c r="F44" s="165">
        <v>0.26256699999999999</v>
      </c>
      <c r="G44" s="166">
        <v>2.1699999999999999E-4</v>
      </c>
      <c r="H44" s="166">
        <f t="shared" si="0"/>
        <v>0.598611</v>
      </c>
    </row>
    <row r="45" spans="2:8">
      <c r="B45" s="163"/>
      <c r="C45" s="164" t="s">
        <v>270</v>
      </c>
      <c r="D45" s="165">
        <v>40.871275009999998</v>
      </c>
      <c r="E45" s="165">
        <v>11.906943</v>
      </c>
      <c r="F45" s="165">
        <v>46.515311079999996</v>
      </c>
      <c r="G45" s="166" t="s">
        <v>85</v>
      </c>
      <c r="H45" s="166">
        <f t="shared" si="0"/>
        <v>99.293529089999993</v>
      </c>
    </row>
    <row r="46" spans="2:8">
      <c r="B46" s="163"/>
      <c r="C46" s="164" t="s">
        <v>271</v>
      </c>
      <c r="D46" s="165">
        <v>45.749031000000002</v>
      </c>
      <c r="E46" s="165">
        <v>10.390864029999999</v>
      </c>
      <c r="F46" s="165">
        <v>76.482171969999996</v>
      </c>
      <c r="G46" s="166">
        <v>81.299084989999983</v>
      </c>
      <c r="H46" s="166">
        <f t="shared" si="0"/>
        <v>213.92115199</v>
      </c>
    </row>
    <row r="47" spans="2:8">
      <c r="B47" s="163"/>
      <c r="C47" s="164" t="s">
        <v>259</v>
      </c>
      <c r="D47" s="165" t="s">
        <v>85</v>
      </c>
      <c r="E47" s="165">
        <v>10.64740407</v>
      </c>
      <c r="F47" s="165">
        <v>0.13961199999999999</v>
      </c>
      <c r="G47" s="166">
        <v>1.9000000000000001E-5</v>
      </c>
      <c r="H47" s="166">
        <f t="shared" si="0"/>
        <v>10.78703507</v>
      </c>
    </row>
    <row r="48" spans="2:8">
      <c r="B48" s="163"/>
      <c r="C48" s="164" t="s">
        <v>261</v>
      </c>
      <c r="D48" s="165">
        <v>6.2949449999999993</v>
      </c>
      <c r="E48" s="165">
        <v>10.467304</v>
      </c>
      <c r="F48" s="165">
        <v>11.64411799</v>
      </c>
      <c r="G48" s="166">
        <v>31.104816010000004</v>
      </c>
      <c r="H48" s="166">
        <f t="shared" si="0"/>
        <v>59.511183000000003</v>
      </c>
    </row>
    <row r="49" spans="2:9">
      <c r="B49" s="167"/>
      <c r="C49" s="168" t="s">
        <v>272</v>
      </c>
      <c r="D49" s="169">
        <v>104.50301395999999</v>
      </c>
      <c r="E49" s="169">
        <v>20.614069000000001</v>
      </c>
      <c r="F49" s="169">
        <v>138.34492804000004</v>
      </c>
      <c r="G49" s="170">
        <v>83.019745959999995</v>
      </c>
      <c r="H49" s="170">
        <f t="shared" si="0"/>
        <v>346.48175695999998</v>
      </c>
    </row>
    <row r="50" spans="2:9">
      <c r="B50" s="264"/>
      <c r="C50" s="262" t="s">
        <v>113</v>
      </c>
      <c r="D50" s="265">
        <f>SUM(D38:D49)</f>
        <v>372.45226499</v>
      </c>
      <c r="E50" s="265">
        <f t="shared" ref="E50:G50" si="4">SUM(E38:E49)</f>
        <v>120.64048220000002</v>
      </c>
      <c r="F50" s="265">
        <f t="shared" si="4"/>
        <v>528.97052714999995</v>
      </c>
      <c r="G50" s="265">
        <f t="shared" si="4"/>
        <v>535.10678796000002</v>
      </c>
      <c r="H50" s="265">
        <f t="shared" si="0"/>
        <v>1557.1700622999999</v>
      </c>
    </row>
    <row r="51" spans="2:9">
      <c r="B51" s="159">
        <v>2015</v>
      </c>
      <c r="C51" s="160" t="s">
        <v>263</v>
      </c>
      <c r="D51" s="161" t="s">
        <v>85</v>
      </c>
      <c r="E51" s="161">
        <v>6.7580000000000001E-3</v>
      </c>
      <c r="F51" s="161">
        <v>4.6379999999999998E-3</v>
      </c>
      <c r="G51" s="162" t="s">
        <v>85</v>
      </c>
      <c r="H51" s="162">
        <f t="shared" si="0"/>
        <v>1.1396E-2</v>
      </c>
    </row>
    <row r="52" spans="2:9">
      <c r="B52" s="163"/>
      <c r="C52" s="164" t="s">
        <v>264</v>
      </c>
      <c r="D52" s="165">
        <v>21.104106980000001</v>
      </c>
      <c r="E52" s="165">
        <v>20.560317009999999</v>
      </c>
      <c r="F52" s="165">
        <v>27.443180969999997</v>
      </c>
      <c r="G52" s="166">
        <v>70.524554000000009</v>
      </c>
      <c r="H52" s="166">
        <f t="shared" si="0"/>
        <v>139.63215896000003</v>
      </c>
    </row>
    <row r="53" spans="2:9">
      <c r="B53" s="163"/>
      <c r="C53" s="164" t="s">
        <v>265</v>
      </c>
      <c r="D53" s="165">
        <v>39.545321969999996</v>
      </c>
      <c r="E53" s="165">
        <v>11.567159999999999</v>
      </c>
      <c r="F53" s="165">
        <v>68.441786059999998</v>
      </c>
      <c r="G53" s="166">
        <v>73.175221010000001</v>
      </c>
      <c r="H53" s="166">
        <f t="shared" si="0"/>
        <v>192.72948904</v>
      </c>
      <c r="I53" s="158"/>
    </row>
    <row r="54" spans="2:9">
      <c r="B54" s="163"/>
      <c r="C54" s="164" t="s">
        <v>266</v>
      </c>
      <c r="D54" s="165" t="s">
        <v>85</v>
      </c>
      <c r="E54" s="165">
        <v>16.368392979999999</v>
      </c>
      <c r="F54" s="165" t="s">
        <v>85</v>
      </c>
      <c r="G54" s="166">
        <v>2.0000000000000002E-5</v>
      </c>
      <c r="H54" s="166">
        <f t="shared" si="0"/>
        <v>16.368412979999999</v>
      </c>
      <c r="I54" s="158"/>
    </row>
    <row r="55" spans="2:9">
      <c r="B55" s="163"/>
      <c r="C55" s="164" t="s">
        <v>267</v>
      </c>
      <c r="D55" s="165">
        <v>17.089969980000003</v>
      </c>
      <c r="E55" s="165">
        <v>17.583893009999997</v>
      </c>
      <c r="F55" s="165">
        <v>16.96176904</v>
      </c>
      <c r="G55" s="166">
        <v>48.619993999999998</v>
      </c>
      <c r="H55" s="166">
        <f t="shared" si="0"/>
        <v>100.25562603</v>
      </c>
      <c r="I55" s="158"/>
    </row>
    <row r="56" spans="2:9">
      <c r="B56" s="163"/>
      <c r="C56" s="164" t="s">
        <v>268</v>
      </c>
      <c r="D56" s="165">
        <v>32.906866999999998</v>
      </c>
      <c r="E56" s="165">
        <v>19.527011039999998</v>
      </c>
      <c r="F56" s="165">
        <v>63.153355050000002</v>
      </c>
      <c r="G56" s="166">
        <v>1.2717000000000001E-2</v>
      </c>
      <c r="H56" s="166">
        <f t="shared" si="0"/>
        <v>115.59995008999999</v>
      </c>
      <c r="I56" s="158"/>
    </row>
    <row r="57" spans="2:9">
      <c r="B57" s="163"/>
      <c r="C57" s="164" t="s">
        <v>269</v>
      </c>
      <c r="D57" s="165">
        <v>4.5823999999999997E-2</v>
      </c>
      <c r="E57" s="165">
        <v>21.45757699</v>
      </c>
      <c r="F57" s="165">
        <v>0.34621499999999999</v>
      </c>
      <c r="G57" s="166">
        <v>5.2659999999999998E-3</v>
      </c>
      <c r="H57" s="166">
        <f t="shared" si="0"/>
        <v>21.854881989999999</v>
      </c>
      <c r="I57" s="158"/>
    </row>
    <row r="58" spans="2:9">
      <c r="B58" s="163"/>
      <c r="C58" s="164" t="s">
        <v>273</v>
      </c>
      <c r="D58" s="165">
        <v>22.478963090000001</v>
      </c>
      <c r="E58" s="165">
        <v>17.745928980000002</v>
      </c>
      <c r="F58" s="165">
        <v>24.046518980000002</v>
      </c>
      <c r="G58" s="166">
        <v>28.710903979999998</v>
      </c>
      <c r="H58" s="166">
        <f t="shared" si="0"/>
        <v>92.982315030000009</v>
      </c>
      <c r="I58" s="158"/>
    </row>
    <row r="59" spans="2:9">
      <c r="B59" s="163"/>
      <c r="C59" s="164" t="s">
        <v>283</v>
      </c>
      <c r="D59" s="165">
        <v>34.952205970000001</v>
      </c>
      <c r="E59" s="165">
        <v>25.846466009999997</v>
      </c>
      <c r="F59" s="165">
        <v>69.470865990000007</v>
      </c>
      <c r="G59" s="166">
        <v>63.415780930000004</v>
      </c>
      <c r="H59" s="166">
        <f t="shared" si="0"/>
        <v>193.6853189</v>
      </c>
      <c r="I59" s="158"/>
    </row>
    <row r="60" spans="2:9">
      <c r="B60" s="163"/>
      <c r="C60" s="164" t="s">
        <v>275</v>
      </c>
      <c r="D60" s="165">
        <v>0.65587099000000004</v>
      </c>
      <c r="E60" s="165">
        <v>8.1258590000000002</v>
      </c>
      <c r="F60" s="165">
        <v>0.90228700000000006</v>
      </c>
      <c r="G60" s="166" t="s">
        <v>85</v>
      </c>
      <c r="H60" s="166">
        <f t="shared" si="0"/>
        <v>9.6840169899999999</v>
      </c>
      <c r="I60" s="158"/>
    </row>
    <row r="61" spans="2:9">
      <c r="B61" s="163"/>
      <c r="C61" s="164" t="s">
        <v>261</v>
      </c>
      <c r="D61" s="165">
        <v>3.9933909999999999</v>
      </c>
      <c r="E61" s="165">
        <v>24.51756</v>
      </c>
      <c r="F61" s="165">
        <v>22.891978910000002</v>
      </c>
      <c r="G61" s="166">
        <v>13.276207990000001</v>
      </c>
      <c r="H61" s="166">
        <f t="shared" si="0"/>
        <v>64.679137900000001</v>
      </c>
      <c r="I61" s="158"/>
    </row>
    <row r="62" spans="2:9">
      <c r="B62" s="167"/>
      <c r="C62" s="168" t="s">
        <v>272</v>
      </c>
      <c r="D62" s="169">
        <v>35.403344019999999</v>
      </c>
      <c r="E62" s="169">
        <v>15.398918</v>
      </c>
      <c r="F62" s="169">
        <v>58.496908980000008</v>
      </c>
      <c r="G62" s="170">
        <v>46.422501979999993</v>
      </c>
      <c r="H62" s="170">
        <f>SUM(D62:G62)</f>
        <v>155.72167297999999</v>
      </c>
      <c r="I62" s="158"/>
    </row>
    <row r="63" spans="2:9">
      <c r="B63" s="261"/>
      <c r="C63" s="262" t="s">
        <v>113</v>
      </c>
      <c r="D63" s="263">
        <f>SUM(D51:D62)</f>
        <v>208.17586499999999</v>
      </c>
      <c r="E63" s="263">
        <f t="shared" ref="E63:G63" si="5">SUM(E51:E62)</f>
        <v>198.70584102000001</v>
      </c>
      <c r="F63" s="263">
        <f t="shared" si="5"/>
        <v>352.15950397999995</v>
      </c>
      <c r="G63" s="263">
        <f t="shared" si="5"/>
        <v>344.16316688999996</v>
      </c>
      <c r="H63" s="263">
        <f>SUM(H51:H62)</f>
        <v>1103.20437689</v>
      </c>
    </row>
    <row r="64" spans="2:9">
      <c r="B64" s="159">
        <v>2016</v>
      </c>
      <c r="C64" s="160" t="s">
        <v>263</v>
      </c>
      <c r="D64" s="161">
        <v>1.376401E-2</v>
      </c>
      <c r="E64" s="161">
        <v>14.001267029999999</v>
      </c>
      <c r="F64" s="161">
        <v>1.0660019999999999</v>
      </c>
      <c r="G64" s="162">
        <v>4.2499999999999998E-4</v>
      </c>
      <c r="H64" s="166">
        <f t="shared" ref="H64:H67" si="6">SUM(D64:G64)</f>
        <v>15.081458039999998</v>
      </c>
    </row>
    <row r="65" spans="2:8">
      <c r="B65" s="163"/>
      <c r="C65" s="164" t="s">
        <v>264</v>
      </c>
      <c r="D65" s="165">
        <v>5.1839040400000007</v>
      </c>
      <c r="E65" s="165">
        <v>1.8508910000000001</v>
      </c>
      <c r="F65" s="165">
        <v>27.817612949999997</v>
      </c>
      <c r="G65" s="166">
        <v>5.931448969999999</v>
      </c>
      <c r="H65" s="166">
        <f t="shared" si="6"/>
        <v>40.783856959999994</v>
      </c>
    </row>
    <row r="66" spans="2:8">
      <c r="B66" s="163"/>
      <c r="C66" s="164" t="s">
        <v>265</v>
      </c>
      <c r="D66" s="165">
        <v>29.740412020000001</v>
      </c>
      <c r="E66" s="165">
        <v>12.69303</v>
      </c>
      <c r="F66" s="165">
        <v>67.868325979999995</v>
      </c>
      <c r="G66" s="166">
        <v>54.457932</v>
      </c>
      <c r="H66" s="166">
        <f t="shared" si="6"/>
        <v>164.75970000000001</v>
      </c>
    </row>
    <row r="67" spans="2:8">
      <c r="B67" s="163"/>
      <c r="C67" s="164" t="s">
        <v>266</v>
      </c>
      <c r="D67" s="165" t="s">
        <v>85</v>
      </c>
      <c r="E67" s="165">
        <v>6.7270079800000007</v>
      </c>
      <c r="F67" s="165">
        <v>0.33634199999999997</v>
      </c>
      <c r="G67" s="166" t="s">
        <v>85</v>
      </c>
      <c r="H67" s="166">
        <f t="shared" si="6"/>
        <v>7.0633499800000008</v>
      </c>
    </row>
    <row r="68" spans="2:8">
      <c r="B68" s="163"/>
      <c r="C68" s="164" t="s">
        <v>267</v>
      </c>
      <c r="D68" s="165">
        <v>14.202285009999999</v>
      </c>
      <c r="E68" s="165">
        <v>17.326237039999999</v>
      </c>
      <c r="F68" s="165">
        <v>35.276917049999994</v>
      </c>
      <c r="G68" s="166">
        <v>8.4021020000000011</v>
      </c>
      <c r="H68" s="166">
        <f t="shared" ref="H68:H73" si="7">SUM(D68:G68)</f>
        <v>75.2075411</v>
      </c>
    </row>
    <row r="69" spans="2:8" ht="13.9" customHeight="1">
      <c r="B69" s="163"/>
      <c r="C69" s="164" t="s">
        <v>268</v>
      </c>
      <c r="D69" s="165">
        <v>34.191086000000006</v>
      </c>
      <c r="E69" s="165">
        <v>16.941938990000004</v>
      </c>
      <c r="F69" s="165">
        <v>70.099692960000013</v>
      </c>
      <c r="G69" s="166">
        <v>4.0374099999999995</v>
      </c>
      <c r="H69" s="166">
        <f t="shared" si="7"/>
        <v>125.27012795000002</v>
      </c>
    </row>
    <row r="70" spans="2:8">
      <c r="B70" s="163"/>
      <c r="C70" s="164" t="s">
        <v>269</v>
      </c>
      <c r="D70" s="165" t="s">
        <v>85</v>
      </c>
      <c r="E70" s="165">
        <v>8.5411700499999998</v>
      </c>
      <c r="F70" s="165" t="s">
        <v>85</v>
      </c>
      <c r="G70" s="166">
        <v>2.0000000000000002E-5</v>
      </c>
      <c r="H70" s="166">
        <f t="shared" si="7"/>
        <v>8.5411900499999991</v>
      </c>
    </row>
    <row r="71" spans="2:8">
      <c r="B71" s="163"/>
      <c r="C71" s="164" t="s">
        <v>273</v>
      </c>
      <c r="D71" s="165">
        <v>29.751061050000001</v>
      </c>
      <c r="E71" s="165">
        <v>19.108841000000002</v>
      </c>
      <c r="F71" s="165">
        <v>46.702360999999996</v>
      </c>
      <c r="G71" s="166">
        <v>6.2599240199999997</v>
      </c>
      <c r="H71" s="166">
        <f t="shared" si="7"/>
        <v>101.82218707</v>
      </c>
    </row>
    <row r="72" spans="2:8" s="279" customFormat="1">
      <c r="B72" s="163"/>
      <c r="C72" s="164" t="s">
        <v>359</v>
      </c>
      <c r="D72" s="165">
        <v>34.012697000000003</v>
      </c>
      <c r="E72" s="165">
        <v>40.359092960000005</v>
      </c>
      <c r="F72" s="165">
        <v>110.10975304000002</v>
      </c>
      <c r="G72" s="166">
        <v>6.5678010000000002</v>
      </c>
      <c r="H72" s="166">
        <f t="shared" si="7"/>
        <v>191.04934400000002</v>
      </c>
    </row>
    <row r="73" spans="2:8" s="276" customFormat="1">
      <c r="B73" s="163"/>
      <c r="C73" s="164" t="s">
        <v>275</v>
      </c>
      <c r="D73" s="165" t="s">
        <v>85</v>
      </c>
      <c r="E73" s="165">
        <v>18.577441060000002</v>
      </c>
      <c r="F73" s="165">
        <v>0.412051</v>
      </c>
      <c r="G73" s="166" t="s">
        <v>85</v>
      </c>
      <c r="H73" s="166">
        <f t="shared" si="7"/>
        <v>18.989492060000003</v>
      </c>
    </row>
    <row r="74" spans="2:8" s="291" customFormat="1">
      <c r="B74" s="163"/>
      <c r="C74" s="164" t="s">
        <v>261</v>
      </c>
      <c r="D74" s="165">
        <v>22.671478</v>
      </c>
      <c r="E74" s="165">
        <v>16.640420979999998</v>
      </c>
      <c r="F74" s="165">
        <v>43.419377040000001</v>
      </c>
      <c r="G74" s="166">
        <v>4.0992090000000001</v>
      </c>
      <c r="H74" s="166">
        <f t="shared" ref="H74:H75" si="8">SUM(D74:G74)</f>
        <v>86.830485019999998</v>
      </c>
    </row>
    <row r="75" spans="2:8" s="291" customFormat="1">
      <c r="B75" s="163"/>
      <c r="C75" s="164" t="s">
        <v>272</v>
      </c>
      <c r="D75" s="165">
        <v>66.662418029999998</v>
      </c>
      <c r="E75" s="165">
        <v>32.99460697</v>
      </c>
      <c r="F75" s="165">
        <v>116.46721398999999</v>
      </c>
      <c r="G75" s="166">
        <v>11.746722999999999</v>
      </c>
      <c r="H75" s="166">
        <f t="shared" si="8"/>
        <v>227.87096198999998</v>
      </c>
    </row>
    <row r="76" spans="2:8">
      <c r="B76" s="258"/>
      <c r="C76" s="259" t="s">
        <v>113</v>
      </c>
      <c r="D76" s="260">
        <f>SUM(D64:D75)</f>
        <v>236.42910516000001</v>
      </c>
      <c r="E76" s="260">
        <f>SUM(E64:E75)</f>
        <v>205.76194506000002</v>
      </c>
      <c r="F76" s="260">
        <f>SUM(F64:F75)</f>
        <v>519.57564901000001</v>
      </c>
      <c r="G76" s="260">
        <f>SUM(G64:G75)</f>
        <v>101.50299499</v>
      </c>
      <c r="H76" s="260">
        <f>SUM(H64:H75)</f>
        <v>1063.26969422</v>
      </c>
    </row>
    <row r="77" spans="2:8">
      <c r="B77" s="159">
        <v>2017</v>
      </c>
      <c r="C77" s="160" t="s">
        <v>263</v>
      </c>
      <c r="D77" s="161" t="s">
        <v>85</v>
      </c>
      <c r="E77" s="161">
        <v>23.579535010000001</v>
      </c>
      <c r="F77" s="161">
        <v>0.10778700000000001</v>
      </c>
      <c r="G77" s="162" t="s">
        <v>85</v>
      </c>
      <c r="H77" s="166">
        <f t="shared" ref="H77:H80" si="9">SUM(D77:G77)</f>
        <v>23.687322009999999</v>
      </c>
    </row>
    <row r="78" spans="2:8" s="291" customFormat="1">
      <c r="B78" s="163"/>
      <c r="C78" s="164" t="s">
        <v>264</v>
      </c>
      <c r="D78" s="165">
        <v>23.927438019999997</v>
      </c>
      <c r="E78" s="165">
        <v>14.150867060000001</v>
      </c>
      <c r="F78" s="165">
        <v>36.297165070000005</v>
      </c>
      <c r="G78" s="166">
        <v>3.716189</v>
      </c>
      <c r="H78" s="166">
        <f t="shared" si="9"/>
        <v>78.091659150000012</v>
      </c>
    </row>
    <row r="79" spans="2:8" s="291" customFormat="1">
      <c r="B79" s="163"/>
      <c r="C79" s="164" t="s">
        <v>265</v>
      </c>
      <c r="D79" s="165">
        <v>103.44074098</v>
      </c>
      <c r="E79" s="165">
        <v>19.484278009999997</v>
      </c>
      <c r="F79" s="165">
        <v>142.27080000999999</v>
      </c>
      <c r="G79" s="166">
        <v>11.723566999999999</v>
      </c>
      <c r="H79" s="166">
        <f t="shared" si="9"/>
        <v>276.91938599999997</v>
      </c>
    </row>
    <row r="80" spans="2:8" s="291" customFormat="1">
      <c r="B80" s="163"/>
      <c r="C80" s="164" t="s">
        <v>266</v>
      </c>
      <c r="D80" s="165" t="s">
        <v>85</v>
      </c>
      <c r="E80" s="165">
        <v>19.206987939999998</v>
      </c>
      <c r="F80" s="165">
        <v>5.8699999999999996E-4</v>
      </c>
      <c r="G80" s="166">
        <v>2.1000000000000002E-5</v>
      </c>
      <c r="H80" s="166">
        <f t="shared" si="9"/>
        <v>19.207595939999997</v>
      </c>
    </row>
    <row r="81" spans="2:9" s="291" customFormat="1">
      <c r="B81" s="163"/>
      <c r="C81" s="164" t="s">
        <v>267</v>
      </c>
      <c r="D81" s="165"/>
      <c r="E81" s="165"/>
      <c r="F81" s="165"/>
      <c r="G81" s="166"/>
      <c r="H81" s="166"/>
    </row>
    <row r="82" spans="2:9" s="291" customFormat="1" ht="13.9" customHeight="1">
      <c r="B82" s="163"/>
      <c r="C82" s="164" t="s">
        <v>268</v>
      </c>
      <c r="D82" s="165"/>
      <c r="E82" s="165"/>
      <c r="F82" s="165"/>
      <c r="G82" s="166"/>
      <c r="H82" s="166"/>
    </row>
    <row r="83" spans="2:9" s="291" customFormat="1">
      <c r="B83" s="163"/>
      <c r="C83" s="164" t="s">
        <v>269</v>
      </c>
      <c r="D83" s="165"/>
      <c r="E83" s="165"/>
      <c r="F83" s="165"/>
      <c r="G83" s="166"/>
      <c r="H83" s="166"/>
    </row>
    <row r="84" spans="2:9" s="291" customFormat="1">
      <c r="B84" s="163"/>
      <c r="C84" s="164" t="s">
        <v>273</v>
      </c>
      <c r="D84" s="165"/>
      <c r="E84" s="165"/>
      <c r="F84" s="165"/>
      <c r="G84" s="166"/>
      <c r="H84" s="166"/>
    </row>
    <row r="85" spans="2:9" s="291" customFormat="1">
      <c r="B85" s="163"/>
      <c r="C85" s="164" t="s">
        <v>359</v>
      </c>
      <c r="D85" s="165"/>
      <c r="E85" s="165"/>
      <c r="F85" s="165"/>
      <c r="G85" s="166"/>
      <c r="H85" s="166"/>
    </row>
    <row r="86" spans="2:9" s="291" customFormat="1">
      <c r="B86" s="163"/>
      <c r="C86" s="164" t="s">
        <v>275</v>
      </c>
      <c r="D86" s="165"/>
      <c r="E86" s="165"/>
      <c r="F86" s="165"/>
      <c r="G86" s="166"/>
      <c r="H86" s="166"/>
    </row>
    <row r="87" spans="2:9" s="291" customFormat="1">
      <c r="B87" s="163"/>
      <c r="C87" s="164" t="s">
        <v>261</v>
      </c>
      <c r="D87" s="165"/>
      <c r="E87" s="165"/>
      <c r="F87" s="165"/>
      <c r="G87" s="166"/>
      <c r="H87" s="166"/>
    </row>
    <row r="88" spans="2:9" s="291" customFormat="1">
      <c r="B88" s="163"/>
      <c r="C88" s="164" t="s">
        <v>272</v>
      </c>
      <c r="D88" s="165"/>
      <c r="E88" s="165"/>
      <c r="F88" s="165"/>
      <c r="G88" s="166"/>
      <c r="H88" s="166"/>
    </row>
    <row r="89" spans="2:9" s="291" customFormat="1">
      <c r="B89" s="258"/>
      <c r="C89" s="259" t="s">
        <v>113</v>
      </c>
      <c r="D89" s="260">
        <f>SUM(D77:D88)</f>
        <v>127.368179</v>
      </c>
      <c r="E89" s="260">
        <f>SUM(E77:E88)</f>
        <v>76.421668019999998</v>
      </c>
      <c r="F89" s="260">
        <f>SUM(F77:F88)</f>
        <v>178.67633907999999</v>
      </c>
      <c r="G89" s="260">
        <f>SUM(G77:G88)</f>
        <v>15.439776999999999</v>
      </c>
      <c r="H89" s="260">
        <f>SUM(H77:H88)</f>
        <v>397.90596309999995</v>
      </c>
    </row>
    <row r="90" spans="2:9" ht="15.75" thickBot="1"/>
    <row r="91" spans="2:9" ht="15.75" thickBot="1">
      <c r="B91" s="250" t="s">
        <v>277</v>
      </c>
      <c r="C91" s="251"/>
      <c r="D91" s="252">
        <f>D11+D24+D37+D50+D63+D76+D89</f>
        <v>1781.72575413</v>
      </c>
      <c r="E91" s="252">
        <f>E11+E24+E37+E50+E63+E76+E89</f>
        <v>772.27365249000002</v>
      </c>
      <c r="F91" s="252">
        <f>F11+F24+F37+F50+F63+F76+F89</f>
        <v>2727.0973324199999</v>
      </c>
      <c r="G91" s="252">
        <f>G11+G24+G37+G50+G63+G76+G89</f>
        <v>2882.9809069900002</v>
      </c>
      <c r="H91" s="252">
        <f>H11+H24+H37+H50+H63+H76+H89</f>
        <v>8164.0776460300003</v>
      </c>
    </row>
    <row r="92" spans="2:9">
      <c r="C92" s="164"/>
      <c r="D92" s="165"/>
      <c r="E92" s="165"/>
      <c r="F92" s="165"/>
      <c r="G92" s="165"/>
      <c r="H92" s="165"/>
    </row>
    <row r="94" spans="2:9">
      <c r="B94" s="173" t="s">
        <v>276</v>
      </c>
      <c r="C94" s="172"/>
      <c r="D94" s="171"/>
      <c r="E94" s="171"/>
      <c r="F94" s="171"/>
      <c r="G94" s="171"/>
      <c r="H94" s="171"/>
      <c r="I94" s="1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C00000"/>
  </sheetPr>
  <dimension ref="A1:H75"/>
  <sheetViews>
    <sheetView topLeftCell="A7" zoomScaleNormal="100" workbookViewId="0">
      <selection activeCell="C41" sqref="C41"/>
    </sheetView>
  </sheetViews>
  <sheetFormatPr baseColWidth="10" defaultColWidth="11.5703125" defaultRowHeight="15"/>
  <cols>
    <col min="1" max="1" width="9.42578125" style="2" customWidth="1"/>
    <col min="2" max="2" width="37.7109375" style="2" customWidth="1"/>
    <col min="3" max="4" width="15.7109375" style="39" customWidth="1"/>
    <col min="5" max="5" width="15.7109375" style="2" customWidth="1"/>
    <col min="6" max="6" width="17" style="2" customWidth="1"/>
    <col min="7" max="7" width="9.140625" style="2" customWidth="1"/>
    <col min="8" max="16384" width="11.5703125" style="2"/>
  </cols>
  <sheetData>
    <row r="1" spans="1:8">
      <c r="A1" s="1" t="s">
        <v>237</v>
      </c>
    </row>
    <row r="2" spans="1:8">
      <c r="A2" s="1" t="s">
        <v>410</v>
      </c>
    </row>
    <row r="4" spans="1:8" s="78" customFormat="1" ht="12.75">
      <c r="A4" s="189" t="s">
        <v>155</v>
      </c>
      <c r="B4" s="189" t="s">
        <v>125</v>
      </c>
      <c r="C4" s="190" t="s">
        <v>126</v>
      </c>
      <c r="D4" s="190" t="s">
        <v>127</v>
      </c>
      <c r="E4" s="191" t="s">
        <v>128</v>
      </c>
    </row>
    <row r="5" spans="1:8" ht="7.9" customHeight="1">
      <c r="A5" s="43"/>
      <c r="B5" s="43"/>
      <c r="C5" s="44"/>
      <c r="D5" s="44"/>
      <c r="E5" s="43"/>
    </row>
    <row r="6" spans="1:8">
      <c r="A6" s="174" t="s">
        <v>129</v>
      </c>
      <c r="B6" s="2" t="s">
        <v>335</v>
      </c>
      <c r="C6" s="39">
        <v>261</v>
      </c>
      <c r="D6" s="39">
        <v>23920953</v>
      </c>
      <c r="E6" s="38">
        <f t="shared" ref="E6:E17" si="0">D6/F6</f>
        <v>0.18612404798074347</v>
      </c>
      <c r="F6" s="105">
        <v>128521560</v>
      </c>
      <c r="H6" s="294"/>
    </row>
    <row r="7" spans="1:8">
      <c r="A7" s="174">
        <v>2</v>
      </c>
      <c r="B7" s="2" t="s">
        <v>336</v>
      </c>
      <c r="C7" s="39">
        <v>54</v>
      </c>
      <c r="D7" s="39">
        <v>16580666</v>
      </c>
      <c r="E7" s="38">
        <f t="shared" si="0"/>
        <v>0.12901077453463838</v>
      </c>
      <c r="F7" s="105">
        <v>128521560</v>
      </c>
    </row>
    <row r="8" spans="1:8">
      <c r="A8" s="174" t="s">
        <v>130</v>
      </c>
      <c r="B8" s="2" t="s">
        <v>337</v>
      </c>
      <c r="C8" s="39">
        <v>66</v>
      </c>
      <c r="D8" s="39">
        <v>15452992</v>
      </c>
      <c r="E8" s="38">
        <f t="shared" si="0"/>
        <v>0.12023657353676691</v>
      </c>
      <c r="F8" s="105">
        <v>128521560</v>
      </c>
      <c r="H8" s="294"/>
    </row>
    <row r="9" spans="1:8">
      <c r="A9" s="174" t="s">
        <v>131</v>
      </c>
      <c r="B9" s="2" t="s">
        <v>132</v>
      </c>
      <c r="C9" s="39">
        <v>15</v>
      </c>
      <c r="D9" s="39">
        <v>14811259</v>
      </c>
      <c r="E9" s="38">
        <f t="shared" si="0"/>
        <v>0.11524338017683571</v>
      </c>
      <c r="F9" s="105">
        <v>128521560</v>
      </c>
      <c r="H9" s="294"/>
    </row>
    <row r="10" spans="1:8">
      <c r="A10" s="174" t="s">
        <v>133</v>
      </c>
      <c r="B10" s="2" t="s">
        <v>338</v>
      </c>
      <c r="C10" s="39">
        <v>9081</v>
      </c>
      <c r="D10" s="39">
        <v>5846332</v>
      </c>
      <c r="E10" s="38">
        <f t="shared" si="0"/>
        <v>4.5489114822446913E-2</v>
      </c>
      <c r="F10" s="105">
        <v>128521560</v>
      </c>
      <c r="H10" s="294"/>
    </row>
    <row r="11" spans="1:8">
      <c r="A11" s="174" t="s">
        <v>134</v>
      </c>
      <c r="B11" s="2" t="s">
        <v>339</v>
      </c>
      <c r="C11" s="39">
        <v>61</v>
      </c>
      <c r="D11" s="39">
        <v>4156521</v>
      </c>
      <c r="E11" s="38">
        <f t="shared" si="0"/>
        <v>3.2341040678311096E-2</v>
      </c>
      <c r="F11" s="105">
        <v>128521560</v>
      </c>
      <c r="H11" s="294"/>
    </row>
    <row r="12" spans="1:8">
      <c r="A12" s="174" t="s">
        <v>135</v>
      </c>
      <c r="B12" s="2" t="s">
        <v>408</v>
      </c>
      <c r="C12" s="39">
        <v>9</v>
      </c>
      <c r="D12" s="39">
        <v>459328</v>
      </c>
      <c r="E12" s="38">
        <f t="shared" si="0"/>
        <v>3.5739373222671744E-3</v>
      </c>
      <c r="F12" s="105">
        <v>128521560</v>
      </c>
      <c r="H12" s="294"/>
    </row>
    <row r="13" spans="1:8">
      <c r="A13" s="174" t="s">
        <v>136</v>
      </c>
      <c r="B13" s="2" t="s">
        <v>409</v>
      </c>
      <c r="C13" s="39">
        <v>45</v>
      </c>
      <c r="D13" s="39">
        <v>380000</v>
      </c>
      <c r="E13" s="38">
        <f t="shared" si="0"/>
        <v>2.9567023618449696E-3</v>
      </c>
      <c r="F13" s="105">
        <v>128521560</v>
      </c>
      <c r="H13" s="294"/>
    </row>
    <row r="14" spans="1:8">
      <c r="A14" s="174" t="s">
        <v>137</v>
      </c>
      <c r="B14" s="2" t="s">
        <v>340</v>
      </c>
      <c r="C14" s="39">
        <v>2</v>
      </c>
      <c r="D14" s="39">
        <v>357267.82</v>
      </c>
      <c r="E14" s="38">
        <f t="shared" si="0"/>
        <v>2.7798279136979041E-3</v>
      </c>
      <c r="F14" s="105">
        <v>128521560</v>
      </c>
      <c r="H14" s="294"/>
    </row>
    <row r="15" spans="1:8">
      <c r="A15" s="174" t="s">
        <v>138</v>
      </c>
      <c r="B15" s="2" t="s">
        <v>341</v>
      </c>
      <c r="C15" s="39">
        <v>2099</v>
      </c>
      <c r="D15" s="39">
        <v>354882</v>
      </c>
      <c r="E15" s="38">
        <f t="shared" si="0"/>
        <v>2.7612643357270172E-3</v>
      </c>
      <c r="F15" s="105">
        <v>128521560</v>
      </c>
      <c r="H15" s="294"/>
    </row>
    <row r="16" spans="1:8">
      <c r="A16" s="2" t="s">
        <v>334</v>
      </c>
      <c r="B16" s="2" t="s">
        <v>342</v>
      </c>
      <c r="C16" s="39">
        <v>6</v>
      </c>
      <c r="D16" s="39">
        <v>223665</v>
      </c>
      <c r="E16" s="225">
        <f t="shared" si="0"/>
        <v>1.740291667794882E-3</v>
      </c>
      <c r="F16" s="105">
        <v>128521560</v>
      </c>
      <c r="H16" s="294"/>
    </row>
    <row r="17" spans="1:8">
      <c r="A17" s="174">
        <v>12</v>
      </c>
      <c r="B17" s="2" t="s">
        <v>139</v>
      </c>
      <c r="C17" s="39">
        <v>20</v>
      </c>
      <c r="D17" s="39">
        <v>4188.8599999999997</v>
      </c>
      <c r="E17" s="225">
        <f t="shared" si="0"/>
        <v>3.2592663830099786E-5</v>
      </c>
      <c r="F17" s="105">
        <v>128521560</v>
      </c>
    </row>
    <row r="19" spans="1:8">
      <c r="A19" s="40" t="s">
        <v>113</v>
      </c>
      <c r="B19" s="40"/>
      <c r="C19" s="41">
        <f>SUM(C6:C17)</f>
        <v>11719</v>
      </c>
      <c r="D19" s="41">
        <f>SUM(D6:D17)</f>
        <v>82548054.679999992</v>
      </c>
      <c r="E19" s="42">
        <f>D19/F19</f>
        <v>0.64228954799490445</v>
      </c>
      <c r="F19" s="105">
        <v>128521560</v>
      </c>
      <c r="H19" s="294"/>
    </row>
    <row r="21" spans="1:8" s="10" customFormat="1" ht="12">
      <c r="A21" s="5" t="s">
        <v>288</v>
      </c>
      <c r="B21" s="9"/>
      <c r="C21" s="9"/>
      <c r="D21" s="9"/>
      <c r="E21" s="9"/>
      <c r="F21" s="9"/>
    </row>
    <row r="22" spans="1:8" s="53" customFormat="1" ht="12">
      <c r="A22" s="50"/>
      <c r="B22" s="56"/>
      <c r="C22" s="56"/>
      <c r="D22" s="56"/>
      <c r="E22" s="56"/>
      <c r="F22" s="56"/>
    </row>
    <row r="27" spans="1:8">
      <c r="A27" s="15" t="s">
        <v>411</v>
      </c>
    </row>
    <row r="29" spans="1:8">
      <c r="A29" s="205" t="s">
        <v>238</v>
      </c>
      <c r="B29" s="188" t="s">
        <v>239</v>
      </c>
      <c r="C29" s="333" t="s">
        <v>240</v>
      </c>
      <c r="D29" s="333" t="s">
        <v>128</v>
      </c>
    </row>
    <row r="30" spans="1:8">
      <c r="A30" s="174"/>
    </row>
    <row r="31" spans="1:8">
      <c r="A31" s="174">
        <v>595</v>
      </c>
      <c r="B31" s="2" t="s">
        <v>241</v>
      </c>
      <c r="C31" s="39">
        <v>1252359.4262999997</v>
      </c>
      <c r="D31" s="38">
        <f t="shared" ref="D31:D38" si="1">C31/F6</f>
        <v>9.744352825315843E-3</v>
      </c>
    </row>
    <row r="32" spans="1:8">
      <c r="A32" s="174">
        <v>292</v>
      </c>
      <c r="B32" s="2" t="s">
        <v>242</v>
      </c>
      <c r="C32" s="39">
        <v>346969.65669999993</v>
      </c>
      <c r="D32" s="38">
        <f t="shared" si="1"/>
        <v>2.6997000090879688E-3</v>
      </c>
    </row>
    <row r="33" spans="1:4">
      <c r="A33" s="174">
        <v>158</v>
      </c>
      <c r="B33" s="2" t="s">
        <v>244</v>
      </c>
      <c r="C33" s="39">
        <v>75441.136400000018</v>
      </c>
      <c r="D33" s="38">
        <f t="shared" si="1"/>
        <v>5.8699206887933837E-4</v>
      </c>
    </row>
    <row r="34" spans="1:4">
      <c r="A34" s="174">
        <v>97</v>
      </c>
      <c r="B34" s="2" t="s">
        <v>243</v>
      </c>
      <c r="C34" s="39">
        <v>74767.755499999999</v>
      </c>
      <c r="D34" s="38">
        <f t="shared" si="1"/>
        <v>5.8175262967551902E-4</v>
      </c>
    </row>
    <row r="35" spans="1:4">
      <c r="A35" s="174">
        <v>41</v>
      </c>
      <c r="B35" s="2" t="s">
        <v>245</v>
      </c>
      <c r="C35" s="39">
        <v>53439.781299999995</v>
      </c>
      <c r="D35" s="38">
        <f t="shared" si="1"/>
        <v>4.158040199636543E-4</v>
      </c>
    </row>
    <row r="36" spans="1:4">
      <c r="A36" s="174">
        <v>64</v>
      </c>
      <c r="B36" s="2" t="s">
        <v>286</v>
      </c>
      <c r="C36" s="39">
        <v>29522.228799999997</v>
      </c>
      <c r="D36" s="38">
        <f t="shared" si="1"/>
        <v>2.2970643057865152E-4</v>
      </c>
    </row>
    <row r="37" spans="1:4">
      <c r="A37" s="174">
        <v>1</v>
      </c>
      <c r="B37" s="2" t="s">
        <v>246</v>
      </c>
      <c r="C37" s="39">
        <v>3680.5862000000002</v>
      </c>
      <c r="D37" s="38">
        <f t="shared" si="1"/>
        <v>2.8637889238194744E-5</v>
      </c>
    </row>
    <row r="38" spans="1:4">
      <c r="A38" s="174">
        <v>1</v>
      </c>
      <c r="B38" s="2" t="s">
        <v>289</v>
      </c>
      <c r="C38" s="39">
        <v>200</v>
      </c>
      <c r="D38" s="322">
        <f t="shared" si="1"/>
        <v>1.556159137813142E-6</v>
      </c>
    </row>
    <row r="41" spans="1:4">
      <c r="A41" s="266">
        <f>SUM(A31:A32)</f>
        <v>887</v>
      </c>
      <c r="B41" s="107" t="s">
        <v>247</v>
      </c>
      <c r="C41" s="106">
        <f>SUM(C31:C32)</f>
        <v>1599329.0829999996</v>
      </c>
      <c r="D41" s="108">
        <f>C41/$F$15</f>
        <v>1.2444052834403812E-2</v>
      </c>
    </row>
    <row r="75" spans="1:1">
      <c r="A75" s="2" t="s">
        <v>248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10" customWidth="1"/>
    <col min="2" max="2" width="16.5703125" style="33" customWidth="1"/>
    <col min="3" max="3" width="24.28515625" style="18" customWidth="1"/>
    <col min="4" max="4" width="19.28515625" style="18" customWidth="1"/>
    <col min="5" max="5" width="26.28515625" style="18" customWidth="1"/>
    <col min="6" max="6" width="11.5703125" style="12"/>
    <col min="7" max="16384" width="11.5703125" style="10"/>
  </cols>
  <sheetData>
    <row r="1" spans="1:12" ht="15">
      <c r="A1" s="34" t="s">
        <v>156</v>
      </c>
      <c r="B1" s="10"/>
    </row>
    <row r="2" spans="1:12">
      <c r="A2" s="46"/>
      <c r="B2" s="10"/>
    </row>
    <row r="3" spans="1:12" ht="15">
      <c r="A3" s="34" t="s">
        <v>179</v>
      </c>
      <c r="B3" s="10"/>
    </row>
    <row r="4" spans="1:12" s="55" customFormat="1" ht="15">
      <c r="A4" s="81" t="s">
        <v>157</v>
      </c>
      <c r="C4" s="75"/>
      <c r="D4" s="75"/>
      <c r="E4" s="75"/>
      <c r="F4" s="67"/>
    </row>
    <row r="5" spans="1:12">
      <c r="A5" s="46"/>
      <c r="B5" s="46"/>
      <c r="C5" s="46"/>
      <c r="D5" s="51"/>
      <c r="E5" s="51"/>
      <c r="F5" s="48"/>
    </row>
    <row r="6" spans="1:12">
      <c r="A6" s="33" t="s">
        <v>177</v>
      </c>
      <c r="B6" s="10"/>
    </row>
    <row r="7" spans="1:12" s="53" customFormat="1">
      <c r="A7" s="58" t="s">
        <v>178</v>
      </c>
      <c r="C7" s="59"/>
      <c r="D7" s="59"/>
      <c r="E7" s="59"/>
      <c r="F7" s="49"/>
    </row>
    <row r="8" spans="1:12">
      <c r="B8" s="10"/>
    </row>
    <row r="9" spans="1:12">
      <c r="A9" s="80"/>
      <c r="B9" s="80"/>
      <c r="C9" s="80"/>
      <c r="D9" s="80"/>
      <c r="E9" s="80"/>
      <c r="F9" s="80"/>
    </row>
    <row r="10" spans="1:12">
      <c r="A10" s="80"/>
      <c r="B10" s="80"/>
      <c r="C10" s="80"/>
      <c r="D10" s="80"/>
      <c r="E10" s="80"/>
      <c r="F10" s="80"/>
    </row>
    <row r="11" spans="1:12" s="54" customFormat="1">
      <c r="A11" s="80"/>
      <c r="B11" s="80"/>
      <c r="C11" s="80"/>
      <c r="D11" s="80"/>
      <c r="E11" s="80"/>
      <c r="F11" s="80"/>
    </row>
    <row r="12" spans="1:12" s="32" customFormat="1">
      <c r="A12" s="80"/>
      <c r="B12" s="80"/>
      <c r="C12" s="80"/>
      <c r="D12" s="80"/>
      <c r="E12" s="80"/>
      <c r="F12" s="80"/>
    </row>
    <row r="13" spans="1:12" ht="12.75" thickBot="1">
      <c r="A13" s="80"/>
      <c r="B13" s="80"/>
      <c r="C13" s="80"/>
      <c r="D13" s="80"/>
      <c r="E13" s="80"/>
      <c r="F13" s="10"/>
    </row>
    <row r="14" spans="1:12" ht="12.75" thickBot="1">
      <c r="B14" s="549" t="s">
        <v>83</v>
      </c>
      <c r="C14" s="549"/>
      <c r="D14" s="549"/>
      <c r="E14" s="549"/>
      <c r="F14" s="549"/>
      <c r="G14" s="549"/>
      <c r="H14" s="549"/>
      <c r="I14" s="549"/>
      <c r="J14" s="549"/>
      <c r="K14" s="549"/>
      <c r="L14" s="85">
        <v>2014</v>
      </c>
    </row>
    <row r="15" spans="1:12">
      <c r="A15" s="19" t="s">
        <v>160</v>
      </c>
      <c r="B15" s="19">
        <v>2004</v>
      </c>
      <c r="C15" s="19">
        <v>2005</v>
      </c>
      <c r="D15" s="19">
        <v>2006</v>
      </c>
      <c r="E15" s="19">
        <v>2007</v>
      </c>
      <c r="F15" s="19">
        <v>2008</v>
      </c>
      <c r="G15" s="19">
        <v>2009</v>
      </c>
      <c r="H15" s="19">
        <v>2010</v>
      </c>
      <c r="I15" s="19">
        <v>2011</v>
      </c>
      <c r="J15" s="19">
        <v>2012</v>
      </c>
      <c r="K15" s="19">
        <v>2013</v>
      </c>
      <c r="L15" s="19" t="s">
        <v>161</v>
      </c>
    </row>
    <row r="16" spans="1:12">
      <c r="A16" s="82" t="s">
        <v>162</v>
      </c>
      <c r="B16" s="24">
        <v>2016.3388019675995</v>
      </c>
      <c r="C16" s="24">
        <v>2069.2028821975996</v>
      </c>
      <c r="D16" s="24">
        <v>2650.7768734652409</v>
      </c>
      <c r="E16" s="24">
        <v>2747.715576605241</v>
      </c>
      <c r="F16" s="24">
        <v>3203.9595314852409</v>
      </c>
      <c r="G16" s="24">
        <v>4126.3384317552409</v>
      </c>
      <c r="H16" s="24">
        <v>5028.4463977652413</v>
      </c>
      <c r="I16" s="24">
        <v>5390.9563147666759</v>
      </c>
      <c r="J16" s="24">
        <v>5611.7135050666739</v>
      </c>
      <c r="K16" s="24">
        <v>5591.9661155892481</v>
      </c>
      <c r="L16" s="89">
        <v>5604.437890047554</v>
      </c>
    </row>
    <row r="17" spans="1:12">
      <c r="A17" s="82" t="s">
        <v>163</v>
      </c>
      <c r="B17" s="24">
        <v>1967.4867882353153</v>
      </c>
      <c r="C17" s="24">
        <v>2300.3104409025186</v>
      </c>
      <c r="D17" s="24">
        <v>2498.6154783761099</v>
      </c>
      <c r="E17" s="24">
        <v>2564.8533505304817</v>
      </c>
      <c r="F17" s="24">
        <v>3614.639977182519</v>
      </c>
      <c r="G17" s="24">
        <v>3736.3777963800471</v>
      </c>
      <c r="H17" s="24">
        <v>3895.533183941855</v>
      </c>
      <c r="I17" s="24">
        <v>4081.8216594039341</v>
      </c>
      <c r="J17" s="24">
        <v>4213.4929441154027</v>
      </c>
      <c r="K17" s="24">
        <v>4221.7054745731493</v>
      </c>
      <c r="L17" s="89">
        <v>4221.7054745731493</v>
      </c>
    </row>
    <row r="18" spans="1:12">
      <c r="A18" s="82" t="s">
        <v>164</v>
      </c>
      <c r="B18" s="24">
        <v>4310.2889765974332</v>
      </c>
      <c r="C18" s="24">
        <v>3687.8409155089694</v>
      </c>
      <c r="D18" s="24">
        <v>3679.6163955789693</v>
      </c>
      <c r="E18" s="24">
        <v>3751.1475445490769</v>
      </c>
      <c r="F18" s="24">
        <v>3651.869068069077</v>
      </c>
      <c r="G18" s="24">
        <v>3699.6450680690768</v>
      </c>
      <c r="H18" s="24">
        <v>3788.6378504935014</v>
      </c>
      <c r="I18" s="24">
        <v>3808.0378504935015</v>
      </c>
      <c r="J18" s="24">
        <v>3932.3510261539277</v>
      </c>
      <c r="K18" s="24">
        <v>3932.3510261539277</v>
      </c>
      <c r="L18" s="89">
        <v>3932.3510261539277</v>
      </c>
    </row>
    <row r="19" spans="1:12">
      <c r="A19" s="82" t="s">
        <v>165</v>
      </c>
      <c r="B19" s="24">
        <v>2375.2657345309881</v>
      </c>
      <c r="C19" s="24">
        <v>2297.5666158672607</v>
      </c>
      <c r="D19" s="24">
        <v>2792.1466584639056</v>
      </c>
      <c r="E19" s="24">
        <v>2811.1531355880411</v>
      </c>
      <c r="F19" s="24">
        <v>2925.1640428204187</v>
      </c>
      <c r="G19" s="24">
        <v>3061.2952120130963</v>
      </c>
      <c r="H19" s="24">
        <v>3094.9237797424066</v>
      </c>
      <c r="I19" s="24">
        <v>3107.5768861233728</v>
      </c>
      <c r="J19" s="24">
        <v>3126.2969148318903</v>
      </c>
      <c r="K19" s="24">
        <v>3138.4254700834599</v>
      </c>
      <c r="L19" s="89">
        <v>3163.4254700834599</v>
      </c>
    </row>
    <row r="20" spans="1:12">
      <c r="A20" s="82" t="s">
        <v>166</v>
      </c>
      <c r="B20" s="24">
        <v>1647.7702663745179</v>
      </c>
      <c r="C20" s="24">
        <v>1647.7702663745179</v>
      </c>
      <c r="D20" s="24">
        <v>1664.2388943545179</v>
      </c>
      <c r="E20" s="24">
        <v>1672.9916918245178</v>
      </c>
      <c r="F20" s="24">
        <v>1831.8265378245178</v>
      </c>
      <c r="G20" s="24">
        <v>2189.607049927668</v>
      </c>
      <c r="H20" s="24">
        <v>2454.9098617485233</v>
      </c>
      <c r="I20" s="24">
        <v>2513.4107839465137</v>
      </c>
      <c r="J20" s="24">
        <v>2616.594687318357</v>
      </c>
      <c r="K20" s="24">
        <v>3063.2399150183601</v>
      </c>
      <c r="L20" s="89">
        <v>3065.6903698802112</v>
      </c>
    </row>
    <row r="21" spans="1:12">
      <c r="A21" s="82" t="s">
        <v>167</v>
      </c>
      <c r="B21" s="24">
        <v>667.25720348266987</v>
      </c>
      <c r="C21" s="24">
        <v>665.26879978330419</v>
      </c>
      <c r="D21" s="24">
        <v>701.30914819929308</v>
      </c>
      <c r="E21" s="24">
        <v>710.54980143030332</v>
      </c>
      <c r="F21" s="24">
        <v>725.83371774085163</v>
      </c>
      <c r="G21" s="24">
        <v>755.97493951085164</v>
      </c>
      <c r="H21" s="24">
        <v>786.85445501085167</v>
      </c>
      <c r="I21" s="24">
        <v>794.52936158257012</v>
      </c>
      <c r="J21" s="24">
        <v>795.82925658257011</v>
      </c>
      <c r="K21" s="24">
        <v>796.82925658257011</v>
      </c>
      <c r="L21" s="89">
        <v>797.82925658257011</v>
      </c>
    </row>
    <row r="22" spans="1:12">
      <c r="A22" s="82" t="s">
        <v>168</v>
      </c>
      <c r="B22" s="24">
        <v>207.93021826308302</v>
      </c>
      <c r="C22" s="24">
        <v>207.93021826308302</v>
      </c>
      <c r="D22" s="24">
        <v>207.93021826308302</v>
      </c>
      <c r="E22" s="24">
        <v>233.2223947022014</v>
      </c>
      <c r="F22" s="24">
        <v>394.35828970220143</v>
      </c>
      <c r="G22" s="24">
        <v>415.98610970220142</v>
      </c>
      <c r="H22" s="24">
        <v>637.77964370220138</v>
      </c>
      <c r="I22" s="24">
        <v>657.77959870220138</v>
      </c>
      <c r="J22" s="24">
        <v>679.67954870220171</v>
      </c>
      <c r="K22" s="24">
        <v>679.67954870220171</v>
      </c>
      <c r="L22" s="89">
        <v>679.67954870220171</v>
      </c>
    </row>
    <row r="23" spans="1:12">
      <c r="A23" s="82" t="s">
        <v>169</v>
      </c>
      <c r="B23" s="24">
        <v>373.23570599663424</v>
      </c>
      <c r="C23" s="24">
        <v>384.93353697616629</v>
      </c>
      <c r="D23" s="24">
        <v>395.68009606137497</v>
      </c>
      <c r="E23" s="24">
        <v>420.72520141006299</v>
      </c>
      <c r="F23" s="24">
        <v>444.86441439006302</v>
      </c>
      <c r="G23" s="24">
        <v>554.86128963006297</v>
      </c>
      <c r="H23" s="24">
        <v>647.16456323334512</v>
      </c>
      <c r="I23" s="24">
        <v>654.19884916276044</v>
      </c>
      <c r="J23" s="24">
        <v>657.96556011613347</v>
      </c>
      <c r="K23" s="24">
        <v>674.21752252396402</v>
      </c>
      <c r="L23" s="89">
        <v>674.21752252396402</v>
      </c>
    </row>
    <row r="24" spans="1:12">
      <c r="A24" s="82" t="s">
        <v>170</v>
      </c>
      <c r="B24" s="24">
        <v>248.44516128020001</v>
      </c>
      <c r="C24" s="24">
        <v>265.24541328020001</v>
      </c>
      <c r="D24" s="24">
        <v>265.24541328020001</v>
      </c>
      <c r="E24" s="24">
        <v>265.24541328020001</v>
      </c>
      <c r="F24" s="24">
        <v>302.86211052020002</v>
      </c>
      <c r="G24" s="24">
        <v>322.86717758642072</v>
      </c>
      <c r="H24" s="24">
        <v>331.30892958238934</v>
      </c>
      <c r="I24" s="24">
        <v>360.17504258289864</v>
      </c>
      <c r="J24" s="24">
        <v>361.91967448473912</v>
      </c>
      <c r="K24" s="24">
        <v>365.59100315606781</v>
      </c>
      <c r="L24" s="89">
        <v>360.06981334605672</v>
      </c>
    </row>
    <row r="25" spans="1:12">
      <c r="A25" s="82" t="s">
        <v>171</v>
      </c>
      <c r="B25" s="24">
        <v>86.074439959419195</v>
      </c>
      <c r="C25" s="24">
        <v>95.21343995941919</v>
      </c>
      <c r="D25" s="24">
        <v>124.1948540138946</v>
      </c>
      <c r="E25" s="24">
        <v>163.87990531779587</v>
      </c>
      <c r="F25" s="24">
        <v>204.70128749981606</v>
      </c>
      <c r="G25" s="24">
        <v>224.93950015858047</v>
      </c>
      <c r="H25" s="24">
        <v>329.08729649534104</v>
      </c>
      <c r="I25" s="24">
        <v>329.08729649534104</v>
      </c>
      <c r="J25" s="24">
        <v>339.15682447534101</v>
      </c>
      <c r="K25" s="24">
        <v>344.04136843279014</v>
      </c>
      <c r="L25" s="89">
        <v>344.04136843279014</v>
      </c>
    </row>
    <row r="26" spans="1:12">
      <c r="A26" s="82" t="s">
        <v>172</v>
      </c>
      <c r="B26" s="24">
        <v>9.9844459099999998</v>
      </c>
      <c r="C26" s="24">
        <v>14.49959743</v>
      </c>
      <c r="D26" s="24">
        <v>132.99959742999999</v>
      </c>
      <c r="E26" s="24">
        <v>162.99959742999999</v>
      </c>
      <c r="F26" s="24">
        <v>162.99959742999999</v>
      </c>
      <c r="G26" s="24">
        <v>162.99959742999999</v>
      </c>
      <c r="H26" s="24">
        <v>163.01441792799861</v>
      </c>
      <c r="I26" s="24">
        <v>163.01441792799861</v>
      </c>
      <c r="J26" s="24">
        <v>163.01441792799861</v>
      </c>
      <c r="K26" s="24">
        <v>163.01441792799861</v>
      </c>
      <c r="L26" s="89">
        <v>163.01441792799861</v>
      </c>
    </row>
    <row r="27" spans="1:12">
      <c r="A27" s="82" t="s">
        <v>173</v>
      </c>
      <c r="B27" s="24">
        <v>62.102777143296592</v>
      </c>
      <c r="C27" s="24">
        <v>63.238038683296594</v>
      </c>
      <c r="D27" s="24">
        <v>63.367988803296591</v>
      </c>
      <c r="E27" s="24">
        <v>63.542948803296589</v>
      </c>
      <c r="F27" s="24">
        <v>63.798127193296587</v>
      </c>
      <c r="G27" s="24">
        <v>72.294871953296592</v>
      </c>
      <c r="H27" s="24">
        <v>76.554871953296598</v>
      </c>
      <c r="I27" s="24">
        <v>76.554871953296598</v>
      </c>
      <c r="J27" s="24">
        <v>81.554871953296598</v>
      </c>
      <c r="K27" s="24">
        <v>83.139495953296588</v>
      </c>
      <c r="L27" s="89">
        <v>83.139495953296588</v>
      </c>
    </row>
    <row r="28" spans="1:12">
      <c r="A28" s="82" t="s">
        <v>174</v>
      </c>
      <c r="B28" s="24">
        <v>44.403113932829655</v>
      </c>
      <c r="C28" s="24">
        <v>44.403113932829655</v>
      </c>
      <c r="D28" s="24">
        <v>44.403113932829655</v>
      </c>
      <c r="E28" s="24">
        <v>44.403113932829655</v>
      </c>
      <c r="F28" s="24">
        <v>45.227177792829657</v>
      </c>
      <c r="G28" s="24">
        <v>45.227177792829657</v>
      </c>
      <c r="H28" s="24">
        <v>45.227177792829657</v>
      </c>
      <c r="I28" s="24">
        <v>45.227177792829657</v>
      </c>
      <c r="J28" s="24">
        <v>45.227177792829657</v>
      </c>
      <c r="K28" s="24">
        <v>45.227177792829657</v>
      </c>
      <c r="L28" s="89">
        <v>70.536118793185906</v>
      </c>
    </row>
    <row r="29" spans="1:12">
      <c r="A29" s="82" t="s">
        <v>175</v>
      </c>
      <c r="B29" s="24">
        <v>24.844261986992819</v>
      </c>
      <c r="C29" s="24">
        <v>25.14426198699282</v>
      </c>
      <c r="D29" s="24">
        <v>25.724163788794623</v>
      </c>
      <c r="E29" s="24">
        <v>25.724163788794623</v>
      </c>
      <c r="F29" s="24">
        <v>26.84976370015994</v>
      </c>
      <c r="G29" s="24">
        <v>28.299685700189993</v>
      </c>
      <c r="H29" s="24">
        <v>29.798364000189995</v>
      </c>
      <c r="I29" s="24">
        <v>32.65497576986705</v>
      </c>
      <c r="J29" s="24">
        <v>32.65497576986705</v>
      </c>
      <c r="K29" s="24">
        <v>32.65497576986705</v>
      </c>
      <c r="L29" s="89">
        <v>32.65497576986705</v>
      </c>
    </row>
    <row r="30" spans="1:12">
      <c r="A30" s="82" t="s">
        <v>176</v>
      </c>
      <c r="B30" s="24">
        <v>1.2449411000000001</v>
      </c>
      <c r="C30" s="24">
        <v>1.2449411000000001</v>
      </c>
      <c r="D30" s="24">
        <v>1.2449411000000001</v>
      </c>
      <c r="E30" s="24">
        <v>1.2449411000000001</v>
      </c>
      <c r="F30" s="24">
        <v>1.2449411000000001</v>
      </c>
      <c r="G30" s="24">
        <v>1.2449411000000001</v>
      </c>
      <c r="H30" s="24">
        <v>1.2449411000000001</v>
      </c>
      <c r="I30" s="24">
        <v>1.2449411000000001</v>
      </c>
      <c r="J30" s="24">
        <v>1.2449411000000001</v>
      </c>
      <c r="K30" s="24">
        <v>1.2449411000000001</v>
      </c>
      <c r="L30" s="89">
        <v>1.2449411000000001</v>
      </c>
    </row>
    <row r="31" spans="1:12">
      <c r="A31" s="8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0"/>
    </row>
    <row r="32" spans="1:12">
      <c r="A32" s="84" t="s">
        <v>113</v>
      </c>
      <c r="B32" s="86">
        <f>SUM(B16:B30)</f>
        <v>14042.672836760981</v>
      </c>
      <c r="C32" s="87">
        <f t="shared" ref="C32:L32" si="0">SUM(C16:C30)</f>
        <v>13769.812482246158</v>
      </c>
      <c r="D32" s="87">
        <f t="shared" si="0"/>
        <v>15247.493835111507</v>
      </c>
      <c r="E32" s="87">
        <f t="shared" si="0"/>
        <v>15639.39878029284</v>
      </c>
      <c r="F32" s="87">
        <f t="shared" si="0"/>
        <v>17600.198584451187</v>
      </c>
      <c r="G32" s="87">
        <f t="shared" si="0"/>
        <v>19397.958848709561</v>
      </c>
      <c r="H32" s="87">
        <f t="shared" si="0"/>
        <v>21310.485734489972</v>
      </c>
      <c r="I32" s="87">
        <f t="shared" si="0"/>
        <v>22016.270027803759</v>
      </c>
      <c r="J32" s="87">
        <f t="shared" si="0"/>
        <v>22658.696326391229</v>
      </c>
      <c r="K32" s="87">
        <f t="shared" si="0"/>
        <v>23133.327709359728</v>
      </c>
      <c r="L32" s="92">
        <f t="shared" si="0"/>
        <v>23194.037689870234</v>
      </c>
    </row>
    <row r="33" spans="1:9">
      <c r="A33" s="80"/>
      <c r="B33" s="80"/>
      <c r="C33" s="80"/>
      <c r="D33" s="80"/>
      <c r="E33" s="80"/>
    </row>
    <row r="34" spans="1:9">
      <c r="D34" s="80"/>
      <c r="E34" s="80"/>
    </row>
    <row r="35" spans="1:9" ht="15">
      <c r="A35" s="34" t="s">
        <v>211</v>
      </c>
      <c r="B35" s="80"/>
      <c r="C35" s="80"/>
      <c r="D35" s="80"/>
      <c r="E35" s="80"/>
    </row>
    <row r="36" spans="1:9">
      <c r="A36" s="33" t="s">
        <v>177</v>
      </c>
      <c r="B36" s="10"/>
    </row>
    <row r="37" spans="1:9" s="53" customFormat="1">
      <c r="A37" s="58" t="s">
        <v>178</v>
      </c>
      <c r="C37" s="59"/>
      <c r="D37" s="59"/>
      <c r="E37" s="59"/>
      <c r="F37" s="49"/>
    </row>
    <row r="38" spans="1:9" ht="15.75" thickBot="1">
      <c r="A38" s="34"/>
      <c r="B38" s="80"/>
      <c r="C38" s="80"/>
      <c r="D38" s="80"/>
      <c r="E38" s="80"/>
    </row>
    <row r="39" spans="1:9" s="12" customFormat="1" ht="12.75" thickBot="1">
      <c r="A39" s="80"/>
      <c r="B39" s="85">
        <v>2014</v>
      </c>
      <c r="C39" s="80"/>
      <c r="D39" s="80"/>
      <c r="E39" s="80"/>
      <c r="G39" s="10"/>
      <c r="H39" s="10"/>
      <c r="I39" s="10"/>
    </row>
    <row r="40" spans="1:9" s="12" customFormat="1">
      <c r="A40" s="19" t="s">
        <v>160</v>
      </c>
      <c r="B40" s="19" t="s">
        <v>210</v>
      </c>
      <c r="C40" s="80"/>
      <c r="D40" s="80"/>
      <c r="E40" s="80"/>
      <c r="G40" s="10"/>
      <c r="H40" s="10"/>
      <c r="I40" s="10"/>
    </row>
    <row r="41" spans="1:9" s="12" customFormat="1">
      <c r="A41" s="82" t="s">
        <v>82</v>
      </c>
      <c r="B41" s="89">
        <v>2.6195341199999995</v>
      </c>
      <c r="C41" s="80"/>
      <c r="D41" s="80"/>
      <c r="E41" s="80"/>
      <c r="G41" s="10"/>
      <c r="H41" s="10"/>
      <c r="I41" s="10"/>
    </row>
    <row r="42" spans="1:9" s="12" customFormat="1">
      <c r="A42" s="82" t="s">
        <v>146</v>
      </c>
      <c r="B42" s="89">
        <v>2299.8891868837809</v>
      </c>
      <c r="C42" s="80"/>
      <c r="D42" s="80"/>
      <c r="E42" s="80"/>
      <c r="G42" s="10"/>
      <c r="H42" s="10"/>
      <c r="I42" s="10"/>
    </row>
    <row r="43" spans="1:9" s="12" customFormat="1">
      <c r="A43" s="82" t="s">
        <v>183</v>
      </c>
      <c r="B43" s="89">
        <v>939.77661745620821</v>
      </c>
      <c r="C43" s="80"/>
      <c r="D43" s="80"/>
      <c r="E43" s="80"/>
      <c r="G43" s="10"/>
      <c r="H43" s="10"/>
      <c r="I43" s="10"/>
    </row>
    <row r="44" spans="1:9" s="12" customFormat="1">
      <c r="A44" s="82" t="s">
        <v>184</v>
      </c>
      <c r="B44" s="89">
        <v>409.890173564554</v>
      </c>
      <c r="C44" s="80"/>
      <c r="D44" s="80"/>
      <c r="E44" s="80"/>
      <c r="G44" s="10"/>
      <c r="H44" s="10"/>
      <c r="I44" s="10"/>
    </row>
    <row r="45" spans="1:9" s="12" customFormat="1">
      <c r="A45" s="82" t="s">
        <v>147</v>
      </c>
      <c r="B45" s="89">
        <v>192.060598877231</v>
      </c>
      <c r="C45" s="80"/>
      <c r="D45" s="80"/>
      <c r="E45" s="80"/>
      <c r="G45" s="10"/>
      <c r="H45" s="10"/>
      <c r="I45" s="10"/>
    </row>
    <row r="46" spans="1:9" s="12" customFormat="1">
      <c r="A46" s="82" t="s">
        <v>81</v>
      </c>
      <c r="B46" s="89">
        <v>708.35876683000004</v>
      </c>
      <c r="C46" s="80"/>
      <c r="D46" s="80"/>
      <c r="E46" s="80"/>
      <c r="G46" s="10"/>
      <c r="H46" s="10"/>
      <c r="I46" s="10"/>
    </row>
    <row r="47" spans="1:9" s="12" customFormat="1">
      <c r="A47" s="82" t="s">
        <v>148</v>
      </c>
      <c r="B47" s="89">
        <v>0</v>
      </c>
      <c r="C47" s="80"/>
      <c r="D47" s="80"/>
      <c r="E47" s="80"/>
      <c r="G47" s="10"/>
      <c r="H47" s="10"/>
      <c r="I47" s="10"/>
    </row>
    <row r="48" spans="1:9" s="12" customFormat="1">
      <c r="A48" s="82" t="s">
        <v>145</v>
      </c>
      <c r="B48" s="89">
        <v>349.00856413600337</v>
      </c>
      <c r="C48" s="80"/>
      <c r="D48" s="80"/>
      <c r="E48" s="80"/>
      <c r="G48" s="10"/>
      <c r="H48" s="10"/>
      <c r="I48" s="10"/>
    </row>
    <row r="49" spans="1:9" s="12" customFormat="1">
      <c r="A49" s="82" t="s">
        <v>185</v>
      </c>
      <c r="B49" s="89">
        <v>38.648328444955993</v>
      </c>
      <c r="C49" s="80"/>
      <c r="D49" s="80"/>
      <c r="E49" s="80"/>
      <c r="G49" s="10"/>
      <c r="H49" s="10"/>
      <c r="I49" s="10"/>
    </row>
    <row r="50" spans="1:9" s="12" customFormat="1">
      <c r="A50" s="82" t="s">
        <v>186</v>
      </c>
      <c r="B50" s="89">
        <v>225.71720261000002</v>
      </c>
      <c r="C50" s="80"/>
      <c r="D50" s="80"/>
      <c r="E50" s="80"/>
      <c r="G50" s="10"/>
      <c r="H50" s="10"/>
      <c r="I50" s="10"/>
    </row>
    <row r="51" spans="1:9" s="12" customFormat="1">
      <c r="A51" s="82" t="s">
        <v>187</v>
      </c>
      <c r="B51" s="89">
        <v>24.987835522574006</v>
      </c>
      <c r="C51" s="80"/>
      <c r="D51" s="80"/>
      <c r="E51" s="80"/>
      <c r="G51" s="10"/>
      <c r="H51" s="10"/>
      <c r="I51" s="10"/>
    </row>
    <row r="52" spans="1:9" s="12" customFormat="1">
      <c r="A52" s="82" t="s">
        <v>144</v>
      </c>
      <c r="B52" s="89">
        <v>12.183352823274996</v>
      </c>
      <c r="C52" s="80"/>
      <c r="D52" s="80"/>
      <c r="E52" s="80"/>
      <c r="G52" s="10"/>
      <c r="H52" s="10"/>
      <c r="I52" s="10"/>
    </row>
    <row r="53" spans="1:9" s="12" customFormat="1">
      <c r="A53" s="82" t="s">
        <v>188</v>
      </c>
      <c r="B53" s="89">
        <v>0</v>
      </c>
      <c r="C53" s="80"/>
      <c r="D53" s="80"/>
      <c r="E53" s="80"/>
      <c r="G53" s="10"/>
      <c r="H53" s="10"/>
      <c r="I53" s="10"/>
    </row>
    <row r="54" spans="1:9" s="12" customFormat="1">
      <c r="A54" s="82" t="s">
        <v>78</v>
      </c>
      <c r="B54" s="89">
        <v>181.25979093999999</v>
      </c>
      <c r="C54" s="80"/>
      <c r="D54" s="80"/>
      <c r="E54" s="80"/>
      <c r="G54" s="10"/>
      <c r="H54" s="10"/>
      <c r="I54" s="10"/>
    </row>
    <row r="55" spans="1:9" s="12" customFormat="1">
      <c r="A55" s="82" t="s">
        <v>189</v>
      </c>
      <c r="B55" s="89">
        <v>19.203540126541</v>
      </c>
      <c r="C55" s="80"/>
      <c r="D55" s="80"/>
      <c r="E55" s="80"/>
      <c r="G55" s="10"/>
      <c r="H55" s="10"/>
      <c r="I55" s="10"/>
    </row>
    <row r="56" spans="1:9" s="12" customFormat="1">
      <c r="A56" s="82" t="s">
        <v>190</v>
      </c>
      <c r="B56" s="89">
        <v>0</v>
      </c>
      <c r="C56" s="80"/>
      <c r="D56" s="80"/>
      <c r="E56" s="80"/>
      <c r="G56" s="10"/>
      <c r="H56" s="10"/>
      <c r="I56" s="10"/>
    </row>
    <row r="57" spans="1:9" s="12" customFormat="1">
      <c r="A57" s="82" t="s">
        <v>77</v>
      </c>
      <c r="B57" s="89">
        <v>157.78027131143469</v>
      </c>
      <c r="C57" s="80"/>
      <c r="D57" s="80"/>
      <c r="E57" s="80"/>
      <c r="G57" s="10"/>
      <c r="H57" s="10"/>
      <c r="I57" s="10"/>
    </row>
    <row r="58" spans="1:9" s="12" customFormat="1">
      <c r="A58" s="82" t="s">
        <v>79</v>
      </c>
      <c r="B58" s="89">
        <v>2.4854901905310003</v>
      </c>
      <c r="C58" s="80"/>
      <c r="D58" s="80"/>
      <c r="E58" s="80"/>
      <c r="G58" s="10"/>
      <c r="H58" s="10"/>
      <c r="I58" s="10"/>
    </row>
    <row r="59" spans="1:9" s="12" customFormat="1">
      <c r="A59" s="82" t="s">
        <v>191</v>
      </c>
      <c r="B59" s="89">
        <v>0</v>
      </c>
      <c r="C59" s="80"/>
      <c r="D59" s="80"/>
      <c r="E59" s="80"/>
      <c r="G59" s="10"/>
      <c r="H59" s="10"/>
      <c r="I59" s="10"/>
    </row>
    <row r="60" spans="1:9" s="12" customFormat="1">
      <c r="A60" s="82" t="s">
        <v>192</v>
      </c>
      <c r="B60" s="89">
        <v>0.32579999999999998</v>
      </c>
      <c r="C60" s="80"/>
      <c r="D60" s="80"/>
      <c r="E60" s="80"/>
      <c r="G60" s="10"/>
      <c r="H60" s="10"/>
      <c r="I60" s="10"/>
    </row>
    <row r="61" spans="1:9" s="12" customFormat="1">
      <c r="A61" s="82" t="s">
        <v>193</v>
      </c>
      <c r="B61" s="89">
        <v>0</v>
      </c>
      <c r="C61" s="80"/>
      <c r="D61" s="80"/>
      <c r="E61" s="80"/>
      <c r="G61" s="10"/>
      <c r="H61" s="10"/>
      <c r="I61" s="10"/>
    </row>
    <row r="62" spans="1:9" s="12" customFormat="1">
      <c r="A62" s="82" t="s">
        <v>80</v>
      </c>
      <c r="B62" s="89">
        <v>11.707172521522002</v>
      </c>
      <c r="C62" s="80"/>
      <c r="D62" s="80"/>
      <c r="E62" s="80"/>
      <c r="G62" s="10"/>
      <c r="H62" s="10"/>
      <c r="I62" s="10"/>
    </row>
    <row r="63" spans="1:9" s="12" customFormat="1">
      <c r="A63" s="82" t="s">
        <v>194</v>
      </c>
      <c r="B63" s="89">
        <v>0</v>
      </c>
      <c r="C63" s="80"/>
      <c r="D63" s="80"/>
      <c r="E63" s="80"/>
      <c r="G63" s="10"/>
      <c r="H63" s="10"/>
      <c r="I63" s="10"/>
    </row>
    <row r="64" spans="1:9" s="12" customFormat="1">
      <c r="A64" s="82" t="s">
        <v>195</v>
      </c>
      <c r="B64" s="89">
        <v>1.4210854715202003E-20</v>
      </c>
      <c r="C64" s="80"/>
      <c r="D64" s="80"/>
      <c r="E64" s="80"/>
      <c r="G64" s="10"/>
      <c r="H64" s="10"/>
      <c r="I64" s="10"/>
    </row>
    <row r="65" spans="1:23" s="12" customFormat="1">
      <c r="A65" s="82" t="s">
        <v>196</v>
      </c>
      <c r="B65" s="89">
        <v>0</v>
      </c>
      <c r="C65" s="80"/>
      <c r="D65" s="80"/>
      <c r="E65" s="80"/>
      <c r="G65" s="10"/>
      <c r="H65" s="10"/>
      <c r="I65" s="10"/>
    </row>
    <row r="66" spans="1:23" s="12" customFormat="1">
      <c r="A66" s="82" t="s">
        <v>197</v>
      </c>
      <c r="B66" s="89">
        <v>5.9000216424465184E-11</v>
      </c>
      <c r="C66" s="80"/>
      <c r="D66" s="80"/>
      <c r="E66" s="80"/>
      <c r="G66" s="10"/>
      <c r="H66" s="10"/>
      <c r="I66" s="10"/>
    </row>
    <row r="67" spans="1:23" s="12" customFormat="1">
      <c r="A67" s="82" t="s">
        <v>198</v>
      </c>
      <c r="B67" s="89">
        <v>1.9599999999999999E-3</v>
      </c>
      <c r="C67" s="80"/>
      <c r="D67" s="80"/>
      <c r="E67" s="80"/>
      <c r="G67" s="10"/>
      <c r="H67" s="10"/>
      <c r="I67" s="10"/>
    </row>
    <row r="68" spans="1:23" s="12" customFormat="1">
      <c r="A68" s="82" t="s">
        <v>199</v>
      </c>
      <c r="B68" s="89">
        <v>5.6843418860808012E-20</v>
      </c>
      <c r="C68" s="80"/>
      <c r="D68" s="80"/>
      <c r="E68" s="80"/>
    </row>
    <row r="69" spans="1:23" s="12" customFormat="1">
      <c r="A69" s="82" t="s">
        <v>200</v>
      </c>
      <c r="B69" s="89">
        <v>0</v>
      </c>
      <c r="C69" s="80"/>
      <c r="D69" s="80"/>
      <c r="E69" s="80"/>
    </row>
    <row r="70" spans="1:23" s="12" customFormat="1">
      <c r="A70" s="82" t="s">
        <v>201</v>
      </c>
      <c r="B70" s="89">
        <v>0</v>
      </c>
      <c r="C70" s="80"/>
      <c r="D70" s="80"/>
      <c r="E70" s="80"/>
    </row>
    <row r="71" spans="1:23" s="12" customFormat="1">
      <c r="A71" s="82" t="s">
        <v>202</v>
      </c>
      <c r="B71" s="89">
        <v>5.6843418860808012E-20</v>
      </c>
      <c r="C71" s="80"/>
      <c r="D71" s="80"/>
      <c r="E71" s="80"/>
    </row>
    <row r="72" spans="1:23" s="12" customFormat="1">
      <c r="A72" s="82" t="s">
        <v>203</v>
      </c>
      <c r="B72" s="89">
        <v>4.6701499999999996</v>
      </c>
      <c r="C72" s="80"/>
      <c r="D72" s="80"/>
      <c r="E72" s="80"/>
    </row>
    <row r="73" spans="1:23" s="12" customFormat="1">
      <c r="A73" s="82" t="s">
        <v>204</v>
      </c>
      <c r="B73" s="89">
        <v>0</v>
      </c>
      <c r="C73" s="80"/>
      <c r="D73" s="80"/>
      <c r="E73" s="80"/>
    </row>
    <row r="74" spans="1:23" s="12" customFormat="1">
      <c r="A74" s="82" t="s">
        <v>205</v>
      </c>
      <c r="B74" s="89">
        <v>0</v>
      </c>
      <c r="C74" s="80"/>
      <c r="D74" s="80"/>
      <c r="E74" s="80"/>
    </row>
    <row r="75" spans="1:23" s="12" customFormat="1">
      <c r="A75" s="82" t="s">
        <v>206</v>
      </c>
      <c r="B75" s="89">
        <v>4.7643486383059042</v>
      </c>
      <c r="C75" s="80"/>
      <c r="D75" s="80"/>
      <c r="E75" s="80"/>
    </row>
    <row r="76" spans="1:23" s="12" customFormat="1">
      <c r="A76" s="82" t="s">
        <v>207</v>
      </c>
      <c r="B76" s="89">
        <v>2.1400000000000003E-6</v>
      </c>
      <c r="C76" s="80"/>
      <c r="D76" s="80"/>
      <c r="E76" s="80"/>
    </row>
    <row r="77" spans="1:23" s="12" customFormat="1">
      <c r="A77" s="82" t="s">
        <v>208</v>
      </c>
      <c r="B77" s="89">
        <v>0</v>
      </c>
      <c r="C77" s="80"/>
      <c r="D77" s="80"/>
      <c r="E77" s="80"/>
    </row>
    <row r="78" spans="1:23" s="12" customFormat="1">
      <c r="A78" s="82" t="s">
        <v>209</v>
      </c>
      <c r="B78" s="89">
        <v>2.4349140000076184</v>
      </c>
      <c r="C78" s="80"/>
      <c r="D78" s="80"/>
      <c r="E78" s="80"/>
    </row>
    <row r="79" spans="1:23" s="12" customFormat="1">
      <c r="A79" s="82" t="s">
        <v>43</v>
      </c>
      <c r="B79" s="89">
        <v>16.664288910570125</v>
      </c>
      <c r="C79" s="80"/>
      <c r="D79" s="80"/>
      <c r="E79" s="80"/>
    </row>
    <row r="80" spans="1:23" s="12" customFormat="1">
      <c r="A80" s="82"/>
      <c r="B80" s="90"/>
      <c r="C80" s="80"/>
      <c r="D80" s="80"/>
      <c r="E80" s="8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2" customFormat="1">
      <c r="A81" s="84" t="s">
        <v>113</v>
      </c>
      <c r="B81" s="91">
        <v>5604.4378900475531</v>
      </c>
      <c r="C81" s="80"/>
      <c r="D81" s="80"/>
      <c r="E81" s="8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2" customFormat="1">
      <c r="A82" s="80"/>
      <c r="B82" s="80"/>
      <c r="C82" s="80"/>
      <c r="D82" s="80"/>
      <c r="E82" s="8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2" customFormat="1">
      <c r="A83" s="88" t="s">
        <v>182</v>
      </c>
      <c r="B83" s="80"/>
      <c r="C83" s="80"/>
      <c r="D83" s="80"/>
      <c r="E83" s="8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" customFormat="1">
      <c r="A84" s="88" t="s">
        <v>181</v>
      </c>
      <c r="B84" s="80"/>
      <c r="C84" s="80"/>
      <c r="D84" s="80"/>
      <c r="E84" s="8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2" customFormat="1">
      <c r="A85" s="88" t="s">
        <v>180</v>
      </c>
      <c r="B85" s="80"/>
      <c r="C85" s="80"/>
      <c r="D85" s="80"/>
      <c r="E85" s="8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2"/>
      <c r="B86" s="12"/>
      <c r="C86" s="80"/>
      <c r="D86" s="80"/>
      <c r="E86" s="80"/>
    </row>
    <row r="87" spans="1:23">
      <c r="C87" s="80"/>
      <c r="D87" s="80"/>
      <c r="E87" s="80"/>
      <c r="F87" s="80"/>
      <c r="G87" s="80"/>
      <c r="H87" s="80"/>
      <c r="I87" s="80"/>
    </row>
    <row r="88" spans="1:23">
      <c r="C88" s="80"/>
      <c r="D88" s="80"/>
      <c r="E88" s="80"/>
    </row>
    <row r="89" spans="1:23">
      <c r="A89" s="80"/>
      <c r="B89" s="80"/>
      <c r="C89" s="80"/>
      <c r="D89" s="80"/>
      <c r="E89" s="80"/>
      <c r="F89" s="10"/>
    </row>
    <row r="90" spans="1:23">
      <c r="A90" s="80"/>
      <c r="B90" s="80"/>
      <c r="C90" s="80"/>
      <c r="D90" s="80"/>
      <c r="E90" s="80"/>
      <c r="F90" s="10"/>
    </row>
    <row r="91" spans="1:23">
      <c r="A91" s="80"/>
      <c r="B91" s="80"/>
      <c r="C91" s="80"/>
      <c r="D91" s="80"/>
      <c r="E91" s="80"/>
    </row>
    <row r="92" spans="1:23">
      <c r="A92" s="80"/>
      <c r="B92" s="80"/>
      <c r="C92" s="80"/>
      <c r="D92" s="80"/>
      <c r="E92" s="80"/>
    </row>
    <row r="93" spans="1:23">
      <c r="A93" s="80"/>
      <c r="B93" s="80"/>
      <c r="C93" s="80"/>
      <c r="D93" s="80"/>
      <c r="E93" s="80"/>
    </row>
    <row r="94" spans="1:23">
      <c r="A94" s="80"/>
      <c r="B94" s="80"/>
      <c r="C94" s="80"/>
      <c r="D94" s="80"/>
      <c r="E94" s="80"/>
    </row>
    <row r="95" spans="1:23">
      <c r="A95" s="80"/>
      <c r="B95" s="80"/>
      <c r="C95" s="80"/>
      <c r="D95" s="80"/>
      <c r="E95" s="80"/>
    </row>
    <row r="96" spans="1:23">
      <c r="A96" s="80"/>
      <c r="B96" s="80"/>
      <c r="C96" s="80"/>
      <c r="D96" s="80"/>
      <c r="E96" s="80"/>
    </row>
    <row r="97" spans="1:6">
      <c r="A97" s="80"/>
      <c r="B97" s="80"/>
      <c r="C97" s="80"/>
      <c r="D97" s="80"/>
      <c r="E97" s="80"/>
    </row>
    <row r="98" spans="1:6">
      <c r="A98" s="80"/>
      <c r="B98" s="80"/>
      <c r="C98" s="80"/>
      <c r="D98" s="80"/>
      <c r="E98" s="80"/>
    </row>
    <row r="99" spans="1:6">
      <c r="A99" s="80"/>
      <c r="B99" s="80"/>
      <c r="C99" s="80"/>
      <c r="D99" s="80"/>
      <c r="E99" s="80"/>
    </row>
    <row r="100" spans="1:6">
      <c r="A100" s="80"/>
      <c r="B100" s="80"/>
      <c r="C100" s="80"/>
      <c r="D100" s="80"/>
      <c r="E100" s="80"/>
    </row>
    <row r="101" spans="1:6">
      <c r="A101" s="80"/>
      <c r="B101" s="80"/>
      <c r="C101" s="80"/>
      <c r="D101" s="80"/>
      <c r="E101" s="80"/>
    </row>
    <row r="102" spans="1:6">
      <c r="A102" s="80"/>
      <c r="B102" s="80"/>
      <c r="C102" s="80"/>
      <c r="D102" s="80"/>
      <c r="E102" s="80"/>
    </row>
    <row r="103" spans="1:6">
      <c r="A103" s="80"/>
      <c r="B103" s="80"/>
      <c r="C103" s="80"/>
      <c r="D103" s="80"/>
      <c r="E103" s="80"/>
    </row>
    <row r="104" spans="1:6">
      <c r="A104" s="80"/>
      <c r="B104" s="80"/>
      <c r="C104" s="80"/>
      <c r="D104" s="80"/>
      <c r="E104" s="80"/>
    </row>
    <row r="105" spans="1:6">
      <c r="A105" s="80"/>
      <c r="B105" s="80"/>
      <c r="C105" s="80"/>
      <c r="D105" s="80"/>
      <c r="E105" s="80"/>
      <c r="F105" s="10"/>
    </row>
    <row r="106" spans="1:6">
      <c r="A106" s="80"/>
      <c r="B106" s="80"/>
      <c r="C106" s="80"/>
      <c r="D106" s="80"/>
      <c r="E106" s="80"/>
      <c r="F106" s="10"/>
    </row>
    <row r="107" spans="1:6" s="55" customFormat="1">
      <c r="A107" s="80"/>
      <c r="B107" s="80"/>
      <c r="C107" s="80"/>
      <c r="D107" s="80"/>
      <c r="E107" s="80"/>
    </row>
    <row r="108" spans="1:6">
      <c r="A108" s="80"/>
      <c r="B108" s="80"/>
      <c r="C108" s="80"/>
      <c r="D108" s="80"/>
      <c r="E108" s="80"/>
      <c r="F108" s="10"/>
    </row>
    <row r="109" spans="1:6" s="79" customFormat="1">
      <c r="A109" s="80"/>
      <c r="B109" s="80"/>
      <c r="C109" s="80"/>
      <c r="D109" s="80"/>
      <c r="E109" s="80"/>
    </row>
    <row r="110" spans="1:6">
      <c r="A110" s="80"/>
      <c r="B110" s="80"/>
      <c r="C110" s="80"/>
      <c r="D110" s="80"/>
      <c r="E110" s="80"/>
      <c r="F110" s="10"/>
    </row>
    <row r="111" spans="1:6">
      <c r="A111" s="80"/>
      <c r="B111" s="80"/>
      <c r="C111" s="80"/>
      <c r="D111" s="80"/>
      <c r="E111" s="80"/>
      <c r="F111" s="10"/>
    </row>
    <row r="112" spans="1:6">
      <c r="A112" s="80"/>
      <c r="B112" s="80"/>
      <c r="C112" s="80"/>
      <c r="D112" s="80"/>
      <c r="E112" s="80"/>
      <c r="F112" s="10"/>
    </row>
    <row r="113" spans="1:9">
      <c r="A113" s="80"/>
      <c r="B113" s="80"/>
      <c r="C113" s="80"/>
      <c r="D113" s="80"/>
      <c r="E113" s="80"/>
      <c r="F113" s="10"/>
    </row>
    <row r="114" spans="1:9">
      <c r="A114" s="80"/>
      <c r="B114" s="80"/>
      <c r="C114" s="80"/>
      <c r="D114" s="80"/>
      <c r="E114" s="80"/>
      <c r="F114" s="10"/>
    </row>
    <row r="115" spans="1:9">
      <c r="A115" s="80"/>
      <c r="B115" s="80"/>
      <c r="C115" s="80"/>
      <c r="D115" s="80"/>
      <c r="E115" s="80"/>
      <c r="F115" s="10"/>
    </row>
    <row r="116" spans="1:9" s="55" customFormat="1">
      <c r="A116" s="80"/>
      <c r="B116" s="80"/>
      <c r="C116" s="80"/>
      <c r="D116" s="80"/>
      <c r="E116" s="80"/>
    </row>
    <row r="117" spans="1:9">
      <c r="A117" s="80"/>
      <c r="B117" s="80"/>
      <c r="C117" s="80"/>
      <c r="D117" s="80"/>
      <c r="E117" s="80"/>
      <c r="F117" s="10"/>
    </row>
    <row r="118" spans="1:9" s="79" customFormat="1">
      <c r="A118" s="80"/>
      <c r="B118" s="80"/>
      <c r="C118" s="80"/>
      <c r="D118" s="80"/>
      <c r="E118" s="80"/>
    </row>
    <row r="119" spans="1:9">
      <c r="A119" s="80"/>
      <c r="B119" s="80"/>
      <c r="C119" s="80"/>
      <c r="D119" s="80"/>
      <c r="E119" s="80"/>
      <c r="F119" s="10"/>
    </row>
    <row r="120" spans="1:9">
      <c r="A120" s="80"/>
      <c r="B120" s="80"/>
      <c r="C120" s="80"/>
      <c r="D120" s="80"/>
      <c r="E120" s="80"/>
      <c r="F120" s="10"/>
    </row>
    <row r="121" spans="1:9">
      <c r="A121" s="80"/>
      <c r="B121" s="80"/>
      <c r="C121" s="80"/>
      <c r="D121" s="80"/>
      <c r="E121" s="80"/>
      <c r="F121" s="10"/>
    </row>
    <row r="122" spans="1:9">
      <c r="A122" s="80"/>
      <c r="B122" s="80"/>
      <c r="C122" s="80"/>
      <c r="D122" s="80"/>
      <c r="E122" s="80"/>
    </row>
    <row r="123" spans="1:9">
      <c r="A123" s="80"/>
      <c r="B123" s="80"/>
      <c r="C123" s="80"/>
      <c r="D123" s="80"/>
      <c r="E123" s="80"/>
    </row>
    <row r="124" spans="1:9">
      <c r="A124" s="80"/>
      <c r="B124" s="80"/>
      <c r="C124" s="80"/>
      <c r="D124" s="80"/>
      <c r="E124" s="80"/>
    </row>
    <row r="125" spans="1:9">
      <c r="A125" s="80"/>
      <c r="B125" s="80"/>
      <c r="C125" s="80"/>
      <c r="D125" s="80"/>
      <c r="E125" s="80"/>
    </row>
    <row r="126" spans="1:9">
      <c r="A126" s="80"/>
      <c r="B126" s="80"/>
      <c r="C126" s="80"/>
      <c r="D126" s="80"/>
      <c r="E126" s="80"/>
    </row>
    <row r="127" spans="1:9" s="33" customFormat="1">
      <c r="A127" s="80"/>
      <c r="B127" s="80"/>
      <c r="C127" s="80"/>
      <c r="D127" s="80"/>
      <c r="E127" s="80"/>
      <c r="F127" s="12"/>
      <c r="G127" s="10"/>
      <c r="H127" s="10"/>
      <c r="I127" s="10"/>
    </row>
    <row r="128" spans="1:9" s="58" customFormat="1">
      <c r="A128" s="80"/>
      <c r="B128" s="80"/>
      <c r="C128" s="80"/>
      <c r="D128" s="80"/>
      <c r="E128" s="80"/>
      <c r="F128" s="49"/>
      <c r="G128" s="53"/>
      <c r="H128" s="53"/>
      <c r="I128" s="53"/>
    </row>
    <row r="129" spans="1:5">
      <c r="A129" s="80"/>
      <c r="B129" s="80"/>
      <c r="C129" s="80"/>
      <c r="D129" s="80"/>
      <c r="E129" s="80"/>
    </row>
    <row r="130" spans="1:5">
      <c r="A130" s="80"/>
      <c r="B130" s="80"/>
      <c r="C130" s="80"/>
      <c r="D130" s="80"/>
      <c r="E130" s="80"/>
    </row>
    <row r="131" spans="1:5">
      <c r="A131" s="80"/>
      <c r="B131" s="80"/>
      <c r="C131" s="80"/>
      <c r="D131" s="80"/>
      <c r="E131" s="80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2"/>
  <sheetViews>
    <sheetView workbookViewId="0">
      <selection activeCell="N42" sqref="N42"/>
    </sheetView>
  </sheetViews>
  <sheetFormatPr baseColWidth="10" defaultRowHeight="15"/>
  <cols>
    <col min="2" max="14" width="10.140625" customWidth="1"/>
  </cols>
  <sheetData>
    <row r="1" spans="1:14">
      <c r="A1" s="204" t="s">
        <v>290</v>
      </c>
    </row>
    <row r="2" spans="1:14">
      <c r="A2" s="204" t="s">
        <v>291</v>
      </c>
    </row>
    <row r="4" spans="1:14">
      <c r="A4" s="205" t="s">
        <v>0</v>
      </c>
      <c r="B4" s="188" t="s">
        <v>216</v>
      </c>
      <c r="C4" s="188" t="s">
        <v>219</v>
      </c>
      <c r="D4" s="188" t="s">
        <v>230</v>
      </c>
      <c r="E4" s="188" t="s">
        <v>251</v>
      </c>
      <c r="F4" s="188" t="s">
        <v>252</v>
      </c>
      <c r="G4" s="188" t="s">
        <v>278</v>
      </c>
      <c r="H4" s="188" t="s">
        <v>279</v>
      </c>
      <c r="I4" s="188" t="s">
        <v>284</v>
      </c>
      <c r="J4" s="188" t="s">
        <v>285</v>
      </c>
      <c r="K4" s="188" t="s">
        <v>287</v>
      </c>
      <c r="L4" s="188" t="s">
        <v>292</v>
      </c>
      <c r="M4" s="188" t="s">
        <v>293</v>
      </c>
      <c r="N4" s="188" t="s">
        <v>113</v>
      </c>
    </row>
    <row r="5" spans="1:14">
      <c r="A5" s="206">
        <v>2008</v>
      </c>
      <c r="B5" s="207">
        <v>709</v>
      </c>
      <c r="C5" s="207">
        <v>1674</v>
      </c>
      <c r="D5" s="207">
        <v>642</v>
      </c>
      <c r="E5" s="207">
        <v>807</v>
      </c>
      <c r="F5" s="207">
        <v>1007</v>
      </c>
      <c r="G5" s="207">
        <v>649</v>
      </c>
      <c r="H5" s="207">
        <v>856</v>
      </c>
      <c r="I5" s="207">
        <v>1094</v>
      </c>
      <c r="J5" s="207">
        <v>812</v>
      </c>
      <c r="K5" s="207">
        <v>686</v>
      </c>
      <c r="L5" s="207">
        <v>511</v>
      </c>
      <c r="M5" s="207">
        <v>346</v>
      </c>
      <c r="N5" s="207">
        <v>9793</v>
      </c>
    </row>
    <row r="6" spans="1:14">
      <c r="A6" s="206">
        <v>2009</v>
      </c>
      <c r="B6" s="207">
        <v>353</v>
      </c>
      <c r="C6" s="207">
        <v>717</v>
      </c>
      <c r="D6" s="207">
        <v>601</v>
      </c>
      <c r="E6" s="207">
        <v>338</v>
      </c>
      <c r="F6" s="207">
        <v>507</v>
      </c>
      <c r="G6" s="207">
        <v>281</v>
      </c>
      <c r="H6" s="207">
        <v>304</v>
      </c>
      <c r="I6" s="207">
        <v>586</v>
      </c>
      <c r="J6" s="207">
        <v>415</v>
      </c>
      <c r="K6" s="207">
        <v>439</v>
      </c>
      <c r="L6" s="207">
        <v>404</v>
      </c>
      <c r="M6" s="207">
        <v>290</v>
      </c>
      <c r="N6" s="207">
        <v>5235</v>
      </c>
    </row>
    <row r="7" spans="1:14">
      <c r="A7" s="206">
        <v>2010</v>
      </c>
      <c r="B7" s="207">
        <v>514</v>
      </c>
      <c r="C7" s="207">
        <v>1556</v>
      </c>
      <c r="D7" s="207">
        <v>512</v>
      </c>
      <c r="E7" s="207">
        <v>467</v>
      </c>
      <c r="F7" s="207">
        <v>697</v>
      </c>
      <c r="G7" s="207">
        <v>476</v>
      </c>
      <c r="H7" s="207">
        <v>686</v>
      </c>
      <c r="I7" s="207">
        <v>686</v>
      </c>
      <c r="J7" s="207">
        <v>526</v>
      </c>
      <c r="K7" s="207">
        <v>859</v>
      </c>
      <c r="L7" s="207">
        <v>949</v>
      </c>
      <c r="M7" s="207">
        <v>1710</v>
      </c>
      <c r="N7" s="207">
        <v>9638</v>
      </c>
    </row>
    <row r="8" spans="1:14">
      <c r="A8" s="206">
        <v>2011</v>
      </c>
      <c r="B8" s="207">
        <v>1388</v>
      </c>
      <c r="C8" s="207">
        <v>1930</v>
      </c>
      <c r="D8" s="207">
        <v>961</v>
      </c>
      <c r="E8" s="207">
        <v>782</v>
      </c>
      <c r="F8" s="207">
        <v>898</v>
      </c>
      <c r="G8" s="207">
        <v>494</v>
      </c>
      <c r="H8" s="207">
        <v>545</v>
      </c>
      <c r="I8" s="207">
        <v>600</v>
      </c>
      <c r="J8" s="207">
        <v>691</v>
      </c>
      <c r="K8" s="207">
        <v>451</v>
      </c>
      <c r="L8" s="207">
        <v>739</v>
      </c>
      <c r="M8" s="207">
        <v>463</v>
      </c>
      <c r="N8" s="207">
        <v>9942</v>
      </c>
    </row>
    <row r="9" spans="1:14">
      <c r="A9" s="206">
        <v>2012</v>
      </c>
      <c r="B9" s="207">
        <v>1391</v>
      </c>
      <c r="C9" s="207">
        <v>462</v>
      </c>
      <c r="D9" s="207">
        <v>474</v>
      </c>
      <c r="E9" s="207">
        <v>345</v>
      </c>
      <c r="F9" s="207">
        <v>1279</v>
      </c>
      <c r="G9" s="207">
        <v>523</v>
      </c>
      <c r="H9" s="207">
        <v>450</v>
      </c>
      <c r="I9" s="207">
        <v>611</v>
      </c>
      <c r="J9" s="207">
        <v>384</v>
      </c>
      <c r="K9" s="207">
        <v>371</v>
      </c>
      <c r="L9" s="207">
        <v>739</v>
      </c>
      <c r="M9" s="207">
        <v>218</v>
      </c>
      <c r="N9" s="207">
        <v>7247</v>
      </c>
    </row>
    <row r="10" spans="1:14">
      <c r="A10" s="206">
        <v>2013</v>
      </c>
      <c r="B10" s="207">
        <v>1121</v>
      </c>
      <c r="C10" s="207">
        <v>319</v>
      </c>
      <c r="D10" s="207">
        <v>318</v>
      </c>
      <c r="E10" s="207">
        <v>418</v>
      </c>
      <c r="F10" s="207">
        <v>1035</v>
      </c>
      <c r="G10" s="207">
        <v>376</v>
      </c>
      <c r="H10" s="207">
        <v>360</v>
      </c>
      <c r="I10" s="207">
        <v>451</v>
      </c>
      <c r="J10" s="207">
        <v>310</v>
      </c>
      <c r="K10" s="207">
        <v>271</v>
      </c>
      <c r="L10" s="207">
        <v>650</v>
      </c>
      <c r="M10" s="207">
        <v>168</v>
      </c>
      <c r="N10" s="207">
        <v>5797</v>
      </c>
    </row>
    <row r="11" spans="1:14">
      <c r="A11" s="206">
        <v>2014</v>
      </c>
      <c r="B11" s="207">
        <v>2039</v>
      </c>
      <c r="C11" s="207">
        <v>358</v>
      </c>
      <c r="D11" s="207">
        <v>236</v>
      </c>
      <c r="E11" s="207">
        <v>250</v>
      </c>
      <c r="F11" s="207">
        <v>670</v>
      </c>
      <c r="G11" s="207">
        <v>477</v>
      </c>
      <c r="H11" s="207">
        <v>206</v>
      </c>
      <c r="I11" s="207">
        <v>389</v>
      </c>
      <c r="J11" s="207">
        <v>403</v>
      </c>
      <c r="K11" s="207">
        <v>288</v>
      </c>
      <c r="L11" s="207">
        <v>402</v>
      </c>
      <c r="M11" s="207">
        <v>372</v>
      </c>
      <c r="N11" s="207">
        <v>6090</v>
      </c>
    </row>
    <row r="12" spans="1:14">
      <c r="A12" s="206">
        <v>2015</v>
      </c>
      <c r="B12" s="207">
        <v>2176</v>
      </c>
      <c r="C12" s="207">
        <v>325</v>
      </c>
      <c r="D12" s="207">
        <v>232</v>
      </c>
      <c r="E12" s="207">
        <v>246</v>
      </c>
      <c r="F12" s="207">
        <v>771</v>
      </c>
      <c r="G12" s="207">
        <v>353</v>
      </c>
      <c r="H12" s="207">
        <v>214</v>
      </c>
      <c r="I12" s="207">
        <v>571</v>
      </c>
      <c r="J12" s="207">
        <v>192</v>
      </c>
      <c r="K12" s="207">
        <v>184</v>
      </c>
      <c r="L12" s="207">
        <v>392</v>
      </c>
      <c r="M12" s="207">
        <v>140</v>
      </c>
      <c r="N12" s="207">
        <v>5796</v>
      </c>
    </row>
    <row r="13" spans="1:14">
      <c r="A13" s="206">
        <v>2016</v>
      </c>
      <c r="B13" s="207">
        <v>1917</v>
      </c>
      <c r="C13" s="207">
        <v>223</v>
      </c>
      <c r="D13" s="207">
        <v>205</v>
      </c>
      <c r="E13" s="207">
        <v>271</v>
      </c>
      <c r="F13" s="207">
        <v>0</v>
      </c>
      <c r="G13" s="207">
        <v>0</v>
      </c>
      <c r="H13" s="207">
        <v>879</v>
      </c>
      <c r="I13" s="207">
        <v>292</v>
      </c>
      <c r="J13" s="207">
        <v>330</v>
      </c>
      <c r="K13" s="207">
        <v>307</v>
      </c>
      <c r="L13" s="207">
        <v>582</v>
      </c>
      <c r="M13" s="207">
        <v>300</v>
      </c>
      <c r="N13" s="207">
        <v>5306</v>
      </c>
    </row>
    <row r="14" spans="1:14">
      <c r="A14" s="206">
        <v>2017</v>
      </c>
      <c r="B14" s="207">
        <v>2287</v>
      </c>
      <c r="C14" s="207">
        <v>70</v>
      </c>
      <c r="D14" s="207">
        <v>83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2440</v>
      </c>
    </row>
    <row r="16" spans="1:14">
      <c r="A16" s="204" t="s">
        <v>294</v>
      </c>
    </row>
    <row r="17" spans="1:14">
      <c r="A17" s="204" t="s">
        <v>295</v>
      </c>
    </row>
    <row r="18" spans="1:14">
      <c r="A18" s="205" t="s">
        <v>0</v>
      </c>
      <c r="B18" s="188" t="s">
        <v>216</v>
      </c>
      <c r="C18" s="188" t="s">
        <v>219</v>
      </c>
      <c r="D18" s="188" t="s">
        <v>230</v>
      </c>
      <c r="E18" s="188" t="s">
        <v>251</v>
      </c>
      <c r="F18" s="188" t="s">
        <v>252</v>
      </c>
      <c r="G18" s="188" t="s">
        <v>278</v>
      </c>
      <c r="H18" s="188" t="s">
        <v>279</v>
      </c>
      <c r="I18" s="188" t="s">
        <v>284</v>
      </c>
      <c r="J18" s="188" t="s">
        <v>285</v>
      </c>
      <c r="K18" s="188" t="s">
        <v>287</v>
      </c>
      <c r="L18" s="188" t="s">
        <v>292</v>
      </c>
      <c r="M18" s="188" t="s">
        <v>293</v>
      </c>
      <c r="N18" s="188" t="s">
        <v>113</v>
      </c>
    </row>
    <row r="19" spans="1:14">
      <c r="A19" s="206">
        <v>2008</v>
      </c>
      <c r="B19" s="207">
        <v>2</v>
      </c>
      <c r="C19" s="207">
        <v>182</v>
      </c>
      <c r="D19" s="207">
        <v>355</v>
      </c>
      <c r="E19" s="207">
        <v>252</v>
      </c>
      <c r="F19" s="207">
        <v>746</v>
      </c>
      <c r="G19" s="207">
        <v>431</v>
      </c>
      <c r="H19" s="207">
        <v>128</v>
      </c>
      <c r="I19" s="207">
        <v>580</v>
      </c>
      <c r="J19" s="207">
        <v>700</v>
      </c>
      <c r="K19" s="207">
        <v>829</v>
      </c>
      <c r="L19" s="207">
        <v>510</v>
      </c>
      <c r="M19" s="207">
        <v>748</v>
      </c>
      <c r="N19" s="207">
        <v>5463</v>
      </c>
    </row>
    <row r="20" spans="1:14">
      <c r="A20" s="206">
        <v>2009</v>
      </c>
      <c r="B20" s="207">
        <v>137</v>
      </c>
      <c r="C20" s="207">
        <v>418</v>
      </c>
      <c r="D20" s="207">
        <v>429</v>
      </c>
      <c r="E20" s="207">
        <v>93</v>
      </c>
      <c r="F20" s="207">
        <v>208</v>
      </c>
      <c r="G20" s="207">
        <v>423</v>
      </c>
      <c r="H20" s="207">
        <v>487</v>
      </c>
      <c r="I20" s="207">
        <v>121</v>
      </c>
      <c r="J20" s="207">
        <v>281</v>
      </c>
      <c r="K20" s="207">
        <v>332</v>
      </c>
      <c r="L20" s="207">
        <v>443</v>
      </c>
      <c r="M20" s="207">
        <v>490</v>
      </c>
      <c r="N20" s="207">
        <v>3862</v>
      </c>
    </row>
    <row r="21" spans="1:14">
      <c r="A21" s="206">
        <v>2010</v>
      </c>
      <c r="B21" s="207">
        <v>215</v>
      </c>
      <c r="C21" s="207">
        <v>261</v>
      </c>
      <c r="D21" s="207">
        <v>195</v>
      </c>
      <c r="E21" s="207">
        <v>236</v>
      </c>
      <c r="F21" s="207">
        <v>251</v>
      </c>
      <c r="G21" s="207">
        <v>244</v>
      </c>
      <c r="H21" s="207">
        <v>352</v>
      </c>
      <c r="I21" s="207">
        <v>216</v>
      </c>
      <c r="J21" s="207">
        <v>450</v>
      </c>
      <c r="K21" s="207">
        <v>301</v>
      </c>
      <c r="L21" s="207">
        <v>582</v>
      </c>
      <c r="M21" s="207">
        <v>688</v>
      </c>
      <c r="N21" s="207">
        <v>3991</v>
      </c>
    </row>
    <row r="22" spans="1:14">
      <c r="A22" s="206">
        <v>2011</v>
      </c>
      <c r="B22" s="207">
        <v>242</v>
      </c>
      <c r="C22" s="207">
        <v>292</v>
      </c>
      <c r="D22" s="207">
        <v>623</v>
      </c>
      <c r="E22" s="207">
        <v>481</v>
      </c>
      <c r="F22" s="207">
        <v>550</v>
      </c>
      <c r="G22" s="207">
        <v>332</v>
      </c>
      <c r="H22" s="207">
        <v>491</v>
      </c>
      <c r="I22" s="207">
        <v>455</v>
      </c>
      <c r="J22" s="207">
        <v>300</v>
      </c>
      <c r="K22" s="207">
        <v>179</v>
      </c>
      <c r="L22" s="207">
        <v>135</v>
      </c>
      <c r="M22" s="207">
        <v>175</v>
      </c>
      <c r="N22" s="207">
        <v>4255</v>
      </c>
    </row>
    <row r="23" spans="1:14">
      <c r="A23" s="206">
        <v>2012</v>
      </c>
      <c r="B23" s="207">
        <v>0</v>
      </c>
      <c r="C23" s="207">
        <v>0</v>
      </c>
      <c r="D23" s="207">
        <v>507</v>
      </c>
      <c r="E23" s="207">
        <v>1002</v>
      </c>
      <c r="F23" s="207">
        <v>517</v>
      </c>
      <c r="G23" s="207">
        <v>318</v>
      </c>
      <c r="H23" s="207">
        <v>347</v>
      </c>
      <c r="I23" s="207">
        <v>346</v>
      </c>
      <c r="J23" s="207">
        <v>196</v>
      </c>
      <c r="K23" s="207">
        <v>444</v>
      </c>
      <c r="L23" s="207">
        <v>336</v>
      </c>
      <c r="M23" s="207">
        <v>363</v>
      </c>
      <c r="N23" s="207">
        <v>4376</v>
      </c>
    </row>
    <row r="24" spans="1:14">
      <c r="A24" s="206">
        <v>2013</v>
      </c>
      <c r="B24" s="207">
        <v>125</v>
      </c>
      <c r="C24" s="207">
        <v>331</v>
      </c>
      <c r="D24" s="207">
        <v>330</v>
      </c>
      <c r="E24" s="207">
        <v>339</v>
      </c>
      <c r="F24" s="207">
        <v>326</v>
      </c>
      <c r="G24" s="207">
        <v>223</v>
      </c>
      <c r="H24" s="207">
        <v>420</v>
      </c>
      <c r="I24" s="207">
        <v>266</v>
      </c>
      <c r="J24" s="207">
        <v>390</v>
      </c>
      <c r="K24" s="207">
        <v>304</v>
      </c>
      <c r="L24" s="207">
        <v>317</v>
      </c>
      <c r="M24" s="207">
        <v>351</v>
      </c>
      <c r="N24" s="207">
        <v>3722</v>
      </c>
    </row>
    <row r="25" spans="1:14">
      <c r="A25" s="206">
        <v>2014</v>
      </c>
      <c r="B25" s="207">
        <v>214</v>
      </c>
      <c r="C25" s="207">
        <v>284</v>
      </c>
      <c r="D25" s="207">
        <v>249</v>
      </c>
      <c r="E25" s="207">
        <v>237</v>
      </c>
      <c r="F25" s="207">
        <v>357</v>
      </c>
      <c r="G25" s="207">
        <v>275</v>
      </c>
      <c r="H25" s="207">
        <v>278</v>
      </c>
      <c r="I25" s="207">
        <v>88</v>
      </c>
      <c r="J25" s="207">
        <v>244</v>
      </c>
      <c r="K25" s="207">
        <v>245</v>
      </c>
      <c r="L25" s="207">
        <v>145</v>
      </c>
      <c r="M25" s="207">
        <v>342</v>
      </c>
      <c r="N25" s="207">
        <v>2958</v>
      </c>
    </row>
    <row r="26" spans="1:14">
      <c r="A26" s="206">
        <v>2015</v>
      </c>
      <c r="B26" s="207">
        <v>225</v>
      </c>
      <c r="C26" s="207">
        <v>112</v>
      </c>
      <c r="D26" s="207">
        <v>155</v>
      </c>
      <c r="E26" s="207">
        <v>388</v>
      </c>
      <c r="F26" s="207">
        <v>364</v>
      </c>
      <c r="G26" s="207">
        <v>208</v>
      </c>
      <c r="H26" s="207">
        <v>393</v>
      </c>
      <c r="I26" s="207">
        <v>166</v>
      </c>
      <c r="J26" s="207">
        <v>476</v>
      </c>
      <c r="K26" s="207">
        <v>0</v>
      </c>
      <c r="L26" s="207">
        <v>0</v>
      </c>
      <c r="M26" s="207">
        <v>0</v>
      </c>
      <c r="N26" s="207">
        <v>2487</v>
      </c>
    </row>
    <row r="27" spans="1:14">
      <c r="A27" s="206">
        <v>2016</v>
      </c>
      <c r="B27" s="207">
        <v>0</v>
      </c>
      <c r="C27" s="207">
        <v>0</v>
      </c>
      <c r="D27" s="207">
        <v>0</v>
      </c>
      <c r="E27" s="207">
        <v>74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908</v>
      </c>
      <c r="L27" s="207">
        <v>179</v>
      </c>
      <c r="M27" s="207">
        <v>285</v>
      </c>
      <c r="N27" s="207">
        <v>1446</v>
      </c>
    </row>
    <row r="28" spans="1:14">
      <c r="A28" s="206">
        <v>2017</v>
      </c>
      <c r="B28" s="207">
        <v>0</v>
      </c>
      <c r="C28" s="207">
        <v>62</v>
      </c>
      <c r="D28" s="207">
        <v>247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309</v>
      </c>
    </row>
    <row r="30" spans="1:14">
      <c r="A30" s="204" t="s">
        <v>296</v>
      </c>
    </row>
    <row r="31" spans="1:14">
      <c r="A31" s="204" t="s">
        <v>390</v>
      </c>
    </row>
    <row r="32" spans="1:14">
      <c r="A32" s="205" t="s">
        <v>0</v>
      </c>
      <c r="B32" s="188" t="s">
        <v>216</v>
      </c>
      <c r="C32" s="188" t="s">
        <v>219</v>
      </c>
      <c r="D32" s="188" t="s">
        <v>230</v>
      </c>
      <c r="E32" s="188" t="s">
        <v>251</v>
      </c>
      <c r="F32" s="188" t="s">
        <v>252</v>
      </c>
      <c r="G32" s="188" t="s">
        <v>278</v>
      </c>
      <c r="H32" s="188" t="s">
        <v>279</v>
      </c>
      <c r="I32" s="188" t="s">
        <v>284</v>
      </c>
      <c r="J32" s="188" t="s">
        <v>285</v>
      </c>
      <c r="K32" s="188" t="s">
        <v>287</v>
      </c>
      <c r="L32" s="188" t="s">
        <v>292</v>
      </c>
      <c r="M32" s="188" t="s">
        <v>293</v>
      </c>
      <c r="N32" s="188" t="s">
        <v>113</v>
      </c>
    </row>
    <row r="33" spans="1:14">
      <c r="A33" s="206">
        <v>2008</v>
      </c>
      <c r="B33" s="207">
        <v>800</v>
      </c>
      <c r="C33" s="207">
        <v>92518</v>
      </c>
      <c r="D33" s="207">
        <v>192433</v>
      </c>
      <c r="E33" s="207">
        <v>141524</v>
      </c>
      <c r="F33" s="207">
        <v>400303</v>
      </c>
      <c r="G33" s="207">
        <v>229588</v>
      </c>
      <c r="H33" s="207">
        <v>70032</v>
      </c>
      <c r="I33" s="207">
        <v>304691</v>
      </c>
      <c r="J33" s="207">
        <v>431052</v>
      </c>
      <c r="K33" s="207">
        <v>498837</v>
      </c>
      <c r="L33" s="207">
        <v>298851</v>
      </c>
      <c r="M33" s="207">
        <v>480402</v>
      </c>
      <c r="N33" s="207">
        <v>3141031</v>
      </c>
    </row>
    <row r="34" spans="1:14">
      <c r="A34" s="206">
        <v>2009</v>
      </c>
      <c r="B34" s="207">
        <v>79054</v>
      </c>
      <c r="C34" s="207">
        <v>233271</v>
      </c>
      <c r="D34" s="207">
        <v>245697</v>
      </c>
      <c r="E34" s="207">
        <v>49862</v>
      </c>
      <c r="F34" s="207">
        <v>128089</v>
      </c>
      <c r="G34" s="207">
        <v>262520</v>
      </c>
      <c r="H34" s="207">
        <v>287412</v>
      </c>
      <c r="I34" s="207">
        <v>58346</v>
      </c>
      <c r="J34" s="207">
        <v>184683</v>
      </c>
      <c r="K34" s="207">
        <v>187909</v>
      </c>
      <c r="L34" s="207">
        <v>239235</v>
      </c>
      <c r="M34" s="207">
        <v>252290</v>
      </c>
      <c r="N34" s="207">
        <v>2208368</v>
      </c>
    </row>
    <row r="35" spans="1:14">
      <c r="A35" s="206">
        <v>2010</v>
      </c>
      <c r="B35" s="207">
        <v>105549</v>
      </c>
      <c r="C35" s="207">
        <v>186481</v>
      </c>
      <c r="D35" s="207">
        <v>113138</v>
      </c>
      <c r="E35" s="207">
        <v>126981</v>
      </c>
      <c r="F35" s="207">
        <v>144408</v>
      </c>
      <c r="G35" s="207">
        <v>153551</v>
      </c>
      <c r="H35" s="207">
        <v>236173</v>
      </c>
      <c r="I35" s="207">
        <v>117965</v>
      </c>
      <c r="J35" s="207">
        <v>274273</v>
      </c>
      <c r="K35" s="207">
        <v>201597</v>
      </c>
      <c r="L35" s="207">
        <v>391211</v>
      </c>
      <c r="M35" s="207">
        <v>445154</v>
      </c>
      <c r="N35" s="207">
        <v>2496481</v>
      </c>
    </row>
    <row r="36" spans="1:14">
      <c r="A36" s="206">
        <v>2011</v>
      </c>
      <c r="B36" s="207">
        <v>161710</v>
      </c>
      <c r="C36" s="207">
        <v>170715</v>
      </c>
      <c r="D36" s="207">
        <v>432702</v>
      </c>
      <c r="E36" s="207">
        <v>390251</v>
      </c>
      <c r="F36" s="207">
        <v>437382</v>
      </c>
      <c r="G36" s="207">
        <v>220084</v>
      </c>
      <c r="H36" s="207">
        <v>342824</v>
      </c>
      <c r="I36" s="207">
        <v>299026</v>
      </c>
      <c r="J36" s="207">
        <v>171908</v>
      </c>
      <c r="K36" s="207">
        <v>171167</v>
      </c>
      <c r="L36" s="207">
        <v>101514</v>
      </c>
      <c r="M36" s="207">
        <v>113158</v>
      </c>
      <c r="N36" s="207">
        <v>3012441</v>
      </c>
    </row>
    <row r="37" spans="1:14">
      <c r="A37" s="206">
        <v>2012</v>
      </c>
      <c r="B37" s="207">
        <v>0</v>
      </c>
      <c r="C37" s="207">
        <v>0</v>
      </c>
      <c r="D37" s="207">
        <v>344770</v>
      </c>
      <c r="E37" s="207">
        <v>600417</v>
      </c>
      <c r="F37" s="207">
        <v>306692</v>
      </c>
      <c r="G37" s="207">
        <v>200734</v>
      </c>
      <c r="H37" s="207">
        <v>230042</v>
      </c>
      <c r="I37" s="207">
        <v>200873</v>
      </c>
      <c r="J37" s="207">
        <v>133315</v>
      </c>
      <c r="K37" s="207">
        <v>287218</v>
      </c>
      <c r="L37" s="207">
        <v>214813</v>
      </c>
      <c r="M37" s="207">
        <v>220432</v>
      </c>
      <c r="N37" s="207">
        <v>2739306</v>
      </c>
    </row>
    <row r="38" spans="1:14">
      <c r="A38" s="206">
        <v>2013</v>
      </c>
      <c r="B38" s="207">
        <v>58586</v>
      </c>
      <c r="C38" s="207">
        <v>147664</v>
      </c>
      <c r="D38" s="207">
        <v>152719</v>
      </c>
      <c r="E38" s="207">
        <v>169137</v>
      </c>
      <c r="F38" s="207">
        <v>158259</v>
      </c>
      <c r="G38" s="207">
        <v>117696</v>
      </c>
      <c r="H38" s="207">
        <v>226659</v>
      </c>
      <c r="I38" s="207">
        <v>141609</v>
      </c>
      <c r="J38" s="207">
        <v>204049</v>
      </c>
      <c r="K38" s="207">
        <v>160318</v>
      </c>
      <c r="L38" s="207">
        <v>150143</v>
      </c>
      <c r="M38" s="207">
        <v>173860</v>
      </c>
      <c r="N38" s="207">
        <v>1860699</v>
      </c>
    </row>
    <row r="39" spans="1:14">
      <c r="A39" s="206">
        <v>2014</v>
      </c>
      <c r="B39" s="207">
        <v>96936</v>
      </c>
      <c r="C39" s="207">
        <v>133326</v>
      </c>
      <c r="D39" s="207">
        <v>129647</v>
      </c>
      <c r="E39" s="207">
        <v>139241</v>
      </c>
      <c r="F39" s="207">
        <v>190666</v>
      </c>
      <c r="G39" s="207">
        <v>126401</v>
      </c>
      <c r="H39" s="207">
        <v>133390</v>
      </c>
      <c r="I39" s="207">
        <v>41694</v>
      </c>
      <c r="J39" s="207">
        <v>127290</v>
      </c>
      <c r="K39" s="207">
        <v>127743</v>
      </c>
      <c r="L39" s="207">
        <v>68142</v>
      </c>
      <c r="M39" s="207">
        <v>180040</v>
      </c>
      <c r="N39" s="207">
        <v>1494516</v>
      </c>
    </row>
    <row r="40" spans="1:14">
      <c r="A40" s="206">
        <v>2015</v>
      </c>
      <c r="B40" s="207">
        <v>110934</v>
      </c>
      <c r="C40" s="207">
        <v>53376</v>
      </c>
      <c r="D40" s="207">
        <v>106585</v>
      </c>
      <c r="E40" s="207">
        <v>228911</v>
      </c>
      <c r="F40" s="207">
        <v>208849</v>
      </c>
      <c r="G40" s="207">
        <v>117497</v>
      </c>
      <c r="H40" s="207">
        <v>210342</v>
      </c>
      <c r="I40" s="207">
        <v>97422</v>
      </c>
      <c r="J40" s="207">
        <v>254018</v>
      </c>
      <c r="K40" s="207">
        <v>0</v>
      </c>
      <c r="L40" s="207">
        <v>0</v>
      </c>
      <c r="M40" s="207">
        <v>0</v>
      </c>
      <c r="N40" s="207">
        <v>1387934</v>
      </c>
    </row>
    <row r="41" spans="1:14">
      <c r="A41" s="206">
        <v>2016</v>
      </c>
      <c r="B41" s="207">
        <v>0</v>
      </c>
      <c r="C41" s="207">
        <v>0</v>
      </c>
      <c r="D41" s="207">
        <v>0</v>
      </c>
      <c r="E41" s="207">
        <v>35313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427494</v>
      </c>
      <c r="L41" s="207">
        <v>84556</v>
      </c>
      <c r="M41" s="207">
        <v>138372</v>
      </c>
      <c r="N41" s="207">
        <v>685735</v>
      </c>
    </row>
    <row r="42" spans="1:14">
      <c r="A42" s="206">
        <v>2017</v>
      </c>
      <c r="B42" s="207">
        <v>0</v>
      </c>
      <c r="C42" s="207">
        <v>33699</v>
      </c>
      <c r="D42" s="207">
        <v>119341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153039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C122"/>
  <sheetViews>
    <sheetView topLeftCell="A22" workbookViewId="0">
      <selection activeCell="C45" sqref="C45"/>
    </sheetView>
  </sheetViews>
  <sheetFormatPr baseColWidth="10" defaultRowHeight="15"/>
  <cols>
    <col min="1" max="1" width="11.42578125" style="291"/>
    <col min="2" max="2" width="31" style="291" bestFit="1" customWidth="1"/>
    <col min="3" max="3" width="13.85546875" style="291" bestFit="1" customWidth="1"/>
    <col min="4" max="5" width="12.28515625" style="291" bestFit="1" customWidth="1"/>
    <col min="6" max="8" width="13.85546875" style="291" bestFit="1" customWidth="1"/>
    <col min="9" max="9" width="12.28515625" style="291" bestFit="1" customWidth="1"/>
    <col min="10" max="10" width="13.85546875" style="291" bestFit="1" customWidth="1"/>
    <col min="11" max="11" width="12.7109375" style="291" bestFit="1" customWidth="1"/>
    <col min="12" max="12" width="12.140625" style="291" bestFit="1" customWidth="1"/>
    <col min="13" max="14" width="11.42578125" style="291"/>
    <col min="15" max="15" width="38.140625" style="291" bestFit="1" customWidth="1"/>
    <col min="16" max="16" width="11.42578125" style="291"/>
    <col min="17" max="21" width="12.28515625" style="291" bestFit="1" customWidth="1"/>
    <col min="22" max="257" width="11.42578125" style="291"/>
    <col min="258" max="258" width="31" style="291" bestFit="1" customWidth="1"/>
    <col min="259" max="259" width="13.85546875" style="291" bestFit="1" customWidth="1"/>
    <col min="260" max="261" width="12.28515625" style="291" bestFit="1" customWidth="1"/>
    <col min="262" max="264" width="13.85546875" style="291" bestFit="1" customWidth="1"/>
    <col min="265" max="265" width="12.28515625" style="291" bestFit="1" customWidth="1"/>
    <col min="266" max="266" width="13.85546875" style="291" bestFit="1" customWidth="1"/>
    <col min="267" max="267" width="12.7109375" style="291" bestFit="1" customWidth="1"/>
    <col min="268" max="268" width="12.140625" style="291" bestFit="1" customWidth="1"/>
    <col min="269" max="270" width="11.42578125" style="291"/>
    <col min="271" max="271" width="38.140625" style="291" bestFit="1" customWidth="1"/>
    <col min="272" max="272" width="11.42578125" style="291"/>
    <col min="273" max="277" width="12.28515625" style="291" bestFit="1" customWidth="1"/>
    <col min="278" max="513" width="11.42578125" style="291"/>
    <col min="514" max="514" width="31" style="291" bestFit="1" customWidth="1"/>
    <col min="515" max="515" width="13.85546875" style="291" bestFit="1" customWidth="1"/>
    <col min="516" max="517" width="12.28515625" style="291" bestFit="1" customWidth="1"/>
    <col min="518" max="520" width="13.85546875" style="291" bestFit="1" customWidth="1"/>
    <col min="521" max="521" width="12.28515625" style="291" bestFit="1" customWidth="1"/>
    <col min="522" max="522" width="13.85546875" style="291" bestFit="1" customWidth="1"/>
    <col min="523" max="523" width="12.7109375" style="291" bestFit="1" customWidth="1"/>
    <col min="524" max="524" width="12.140625" style="291" bestFit="1" customWidth="1"/>
    <col min="525" max="526" width="11.42578125" style="291"/>
    <col min="527" max="527" width="38.140625" style="291" bestFit="1" customWidth="1"/>
    <col min="528" max="528" width="11.42578125" style="291"/>
    <col min="529" max="533" width="12.28515625" style="291" bestFit="1" customWidth="1"/>
    <col min="534" max="769" width="11.42578125" style="291"/>
    <col min="770" max="770" width="31" style="291" bestFit="1" customWidth="1"/>
    <col min="771" max="771" width="13.85546875" style="291" bestFit="1" customWidth="1"/>
    <col min="772" max="773" width="12.28515625" style="291" bestFit="1" customWidth="1"/>
    <col min="774" max="776" width="13.85546875" style="291" bestFit="1" customWidth="1"/>
    <col min="777" max="777" width="12.28515625" style="291" bestFit="1" customWidth="1"/>
    <col min="778" max="778" width="13.85546875" style="291" bestFit="1" customWidth="1"/>
    <col min="779" max="779" width="12.7109375" style="291" bestFit="1" customWidth="1"/>
    <col min="780" max="780" width="12.140625" style="291" bestFit="1" customWidth="1"/>
    <col min="781" max="782" width="11.42578125" style="291"/>
    <col min="783" max="783" width="38.140625" style="291" bestFit="1" customWidth="1"/>
    <col min="784" max="784" width="11.42578125" style="291"/>
    <col min="785" max="789" width="12.28515625" style="291" bestFit="1" customWidth="1"/>
    <col min="790" max="1025" width="11.42578125" style="291"/>
    <col min="1026" max="1026" width="31" style="291" bestFit="1" customWidth="1"/>
    <col min="1027" max="1027" width="13.85546875" style="291" bestFit="1" customWidth="1"/>
    <col min="1028" max="1029" width="12.28515625" style="291" bestFit="1" customWidth="1"/>
    <col min="1030" max="1032" width="13.85546875" style="291" bestFit="1" customWidth="1"/>
    <col min="1033" max="1033" width="12.28515625" style="291" bestFit="1" customWidth="1"/>
    <col min="1034" max="1034" width="13.85546875" style="291" bestFit="1" customWidth="1"/>
    <col min="1035" max="1035" width="12.7109375" style="291" bestFit="1" customWidth="1"/>
    <col min="1036" max="1036" width="12.140625" style="291" bestFit="1" customWidth="1"/>
    <col min="1037" max="1038" width="11.42578125" style="291"/>
    <col min="1039" max="1039" width="38.140625" style="291" bestFit="1" customWidth="1"/>
    <col min="1040" max="1040" width="11.42578125" style="291"/>
    <col min="1041" max="1045" width="12.28515625" style="291" bestFit="1" customWidth="1"/>
    <col min="1046" max="1281" width="11.42578125" style="291"/>
    <col min="1282" max="1282" width="31" style="291" bestFit="1" customWidth="1"/>
    <col min="1283" max="1283" width="13.85546875" style="291" bestFit="1" customWidth="1"/>
    <col min="1284" max="1285" width="12.28515625" style="291" bestFit="1" customWidth="1"/>
    <col min="1286" max="1288" width="13.85546875" style="291" bestFit="1" customWidth="1"/>
    <col min="1289" max="1289" width="12.28515625" style="291" bestFit="1" customWidth="1"/>
    <col min="1290" max="1290" width="13.85546875" style="291" bestFit="1" customWidth="1"/>
    <col min="1291" max="1291" width="12.7109375" style="291" bestFit="1" customWidth="1"/>
    <col min="1292" max="1292" width="12.140625" style="291" bestFit="1" customWidth="1"/>
    <col min="1293" max="1294" width="11.42578125" style="291"/>
    <col min="1295" max="1295" width="38.140625" style="291" bestFit="1" customWidth="1"/>
    <col min="1296" max="1296" width="11.42578125" style="291"/>
    <col min="1297" max="1301" width="12.28515625" style="291" bestFit="1" customWidth="1"/>
    <col min="1302" max="1537" width="11.42578125" style="291"/>
    <col min="1538" max="1538" width="31" style="291" bestFit="1" customWidth="1"/>
    <col min="1539" max="1539" width="13.85546875" style="291" bestFit="1" customWidth="1"/>
    <col min="1540" max="1541" width="12.28515625" style="291" bestFit="1" customWidth="1"/>
    <col min="1542" max="1544" width="13.85546875" style="291" bestFit="1" customWidth="1"/>
    <col min="1545" max="1545" width="12.28515625" style="291" bestFit="1" customWidth="1"/>
    <col min="1546" max="1546" width="13.85546875" style="291" bestFit="1" customWidth="1"/>
    <col min="1547" max="1547" width="12.7109375" style="291" bestFit="1" customWidth="1"/>
    <col min="1548" max="1548" width="12.140625" style="291" bestFit="1" customWidth="1"/>
    <col min="1549" max="1550" width="11.42578125" style="291"/>
    <col min="1551" max="1551" width="38.140625" style="291" bestFit="1" customWidth="1"/>
    <col min="1552" max="1552" width="11.42578125" style="291"/>
    <col min="1553" max="1557" width="12.28515625" style="291" bestFit="1" customWidth="1"/>
    <col min="1558" max="1793" width="11.42578125" style="291"/>
    <col min="1794" max="1794" width="31" style="291" bestFit="1" customWidth="1"/>
    <col min="1795" max="1795" width="13.85546875" style="291" bestFit="1" customWidth="1"/>
    <col min="1796" max="1797" width="12.28515625" style="291" bestFit="1" customWidth="1"/>
    <col min="1798" max="1800" width="13.85546875" style="291" bestFit="1" customWidth="1"/>
    <col min="1801" max="1801" width="12.28515625" style="291" bestFit="1" customWidth="1"/>
    <col min="1802" max="1802" width="13.85546875" style="291" bestFit="1" customWidth="1"/>
    <col min="1803" max="1803" width="12.7109375" style="291" bestFit="1" customWidth="1"/>
    <col min="1804" max="1804" width="12.140625" style="291" bestFit="1" customWidth="1"/>
    <col min="1805" max="1806" width="11.42578125" style="291"/>
    <col min="1807" max="1807" width="38.140625" style="291" bestFit="1" customWidth="1"/>
    <col min="1808" max="1808" width="11.42578125" style="291"/>
    <col min="1809" max="1813" width="12.28515625" style="291" bestFit="1" customWidth="1"/>
    <col min="1814" max="2049" width="11.42578125" style="291"/>
    <col min="2050" max="2050" width="31" style="291" bestFit="1" customWidth="1"/>
    <col min="2051" max="2051" width="13.85546875" style="291" bestFit="1" customWidth="1"/>
    <col min="2052" max="2053" width="12.28515625" style="291" bestFit="1" customWidth="1"/>
    <col min="2054" max="2056" width="13.85546875" style="291" bestFit="1" customWidth="1"/>
    <col min="2057" max="2057" width="12.28515625" style="291" bestFit="1" customWidth="1"/>
    <col min="2058" max="2058" width="13.85546875" style="291" bestFit="1" customWidth="1"/>
    <col min="2059" max="2059" width="12.7109375" style="291" bestFit="1" customWidth="1"/>
    <col min="2060" max="2060" width="12.140625" style="291" bestFit="1" customWidth="1"/>
    <col min="2061" max="2062" width="11.42578125" style="291"/>
    <col min="2063" max="2063" width="38.140625" style="291" bestFit="1" customWidth="1"/>
    <col min="2064" max="2064" width="11.42578125" style="291"/>
    <col min="2065" max="2069" width="12.28515625" style="291" bestFit="1" customWidth="1"/>
    <col min="2070" max="2305" width="11.42578125" style="291"/>
    <col min="2306" max="2306" width="31" style="291" bestFit="1" customWidth="1"/>
    <col min="2307" max="2307" width="13.85546875" style="291" bestFit="1" customWidth="1"/>
    <col min="2308" max="2309" width="12.28515625" style="291" bestFit="1" customWidth="1"/>
    <col min="2310" max="2312" width="13.85546875" style="291" bestFit="1" customWidth="1"/>
    <col min="2313" max="2313" width="12.28515625" style="291" bestFit="1" customWidth="1"/>
    <col min="2314" max="2314" width="13.85546875" style="291" bestFit="1" customWidth="1"/>
    <col min="2315" max="2315" width="12.7109375" style="291" bestFit="1" customWidth="1"/>
    <col min="2316" max="2316" width="12.140625" style="291" bestFit="1" customWidth="1"/>
    <col min="2317" max="2318" width="11.42578125" style="291"/>
    <col min="2319" max="2319" width="38.140625" style="291" bestFit="1" customWidth="1"/>
    <col min="2320" max="2320" width="11.42578125" style="291"/>
    <col min="2321" max="2325" width="12.28515625" style="291" bestFit="1" customWidth="1"/>
    <col min="2326" max="2561" width="11.42578125" style="291"/>
    <col min="2562" max="2562" width="31" style="291" bestFit="1" customWidth="1"/>
    <col min="2563" max="2563" width="13.85546875" style="291" bestFit="1" customWidth="1"/>
    <col min="2564" max="2565" width="12.28515625" style="291" bestFit="1" customWidth="1"/>
    <col min="2566" max="2568" width="13.85546875" style="291" bestFit="1" customWidth="1"/>
    <col min="2569" max="2569" width="12.28515625" style="291" bestFit="1" customWidth="1"/>
    <col min="2570" max="2570" width="13.85546875" style="291" bestFit="1" customWidth="1"/>
    <col min="2571" max="2571" width="12.7109375" style="291" bestFit="1" customWidth="1"/>
    <col min="2572" max="2572" width="12.140625" style="291" bestFit="1" customWidth="1"/>
    <col min="2573" max="2574" width="11.42578125" style="291"/>
    <col min="2575" max="2575" width="38.140625" style="291" bestFit="1" customWidth="1"/>
    <col min="2576" max="2576" width="11.42578125" style="291"/>
    <col min="2577" max="2581" width="12.28515625" style="291" bestFit="1" customWidth="1"/>
    <col min="2582" max="2817" width="11.42578125" style="291"/>
    <col min="2818" max="2818" width="31" style="291" bestFit="1" customWidth="1"/>
    <col min="2819" max="2819" width="13.85546875" style="291" bestFit="1" customWidth="1"/>
    <col min="2820" max="2821" width="12.28515625" style="291" bestFit="1" customWidth="1"/>
    <col min="2822" max="2824" width="13.85546875" style="291" bestFit="1" customWidth="1"/>
    <col min="2825" max="2825" width="12.28515625" style="291" bestFit="1" customWidth="1"/>
    <col min="2826" max="2826" width="13.85546875" style="291" bestFit="1" customWidth="1"/>
    <col min="2827" max="2827" width="12.7109375" style="291" bestFit="1" customWidth="1"/>
    <col min="2828" max="2828" width="12.140625" style="291" bestFit="1" customWidth="1"/>
    <col min="2829" max="2830" width="11.42578125" style="291"/>
    <col min="2831" max="2831" width="38.140625" style="291" bestFit="1" customWidth="1"/>
    <col min="2832" max="2832" width="11.42578125" style="291"/>
    <col min="2833" max="2837" width="12.28515625" style="291" bestFit="1" customWidth="1"/>
    <col min="2838" max="3073" width="11.42578125" style="291"/>
    <col min="3074" max="3074" width="31" style="291" bestFit="1" customWidth="1"/>
    <col min="3075" max="3075" width="13.85546875" style="291" bestFit="1" customWidth="1"/>
    <col min="3076" max="3077" width="12.28515625" style="291" bestFit="1" customWidth="1"/>
    <col min="3078" max="3080" width="13.85546875" style="291" bestFit="1" customWidth="1"/>
    <col min="3081" max="3081" width="12.28515625" style="291" bestFit="1" customWidth="1"/>
    <col min="3082" max="3082" width="13.85546875" style="291" bestFit="1" customWidth="1"/>
    <col min="3083" max="3083" width="12.7109375" style="291" bestFit="1" customWidth="1"/>
    <col min="3084" max="3084" width="12.140625" style="291" bestFit="1" customWidth="1"/>
    <col min="3085" max="3086" width="11.42578125" style="291"/>
    <col min="3087" max="3087" width="38.140625" style="291" bestFit="1" customWidth="1"/>
    <col min="3088" max="3088" width="11.42578125" style="291"/>
    <col min="3089" max="3093" width="12.28515625" style="291" bestFit="1" customWidth="1"/>
    <col min="3094" max="3329" width="11.42578125" style="291"/>
    <col min="3330" max="3330" width="31" style="291" bestFit="1" customWidth="1"/>
    <col min="3331" max="3331" width="13.85546875" style="291" bestFit="1" customWidth="1"/>
    <col min="3332" max="3333" width="12.28515625" style="291" bestFit="1" customWidth="1"/>
    <col min="3334" max="3336" width="13.85546875" style="291" bestFit="1" customWidth="1"/>
    <col min="3337" max="3337" width="12.28515625" style="291" bestFit="1" customWidth="1"/>
    <col min="3338" max="3338" width="13.85546875" style="291" bestFit="1" customWidth="1"/>
    <col min="3339" max="3339" width="12.7109375" style="291" bestFit="1" customWidth="1"/>
    <col min="3340" max="3340" width="12.140625" style="291" bestFit="1" customWidth="1"/>
    <col min="3341" max="3342" width="11.42578125" style="291"/>
    <col min="3343" max="3343" width="38.140625" style="291" bestFit="1" customWidth="1"/>
    <col min="3344" max="3344" width="11.42578125" style="291"/>
    <col min="3345" max="3349" width="12.28515625" style="291" bestFit="1" customWidth="1"/>
    <col min="3350" max="3585" width="11.42578125" style="291"/>
    <col min="3586" max="3586" width="31" style="291" bestFit="1" customWidth="1"/>
    <col min="3587" max="3587" width="13.85546875" style="291" bestFit="1" customWidth="1"/>
    <col min="3588" max="3589" width="12.28515625" style="291" bestFit="1" customWidth="1"/>
    <col min="3590" max="3592" width="13.85546875" style="291" bestFit="1" customWidth="1"/>
    <col min="3593" max="3593" width="12.28515625" style="291" bestFit="1" customWidth="1"/>
    <col min="3594" max="3594" width="13.85546875" style="291" bestFit="1" customWidth="1"/>
    <col min="3595" max="3595" width="12.7109375" style="291" bestFit="1" customWidth="1"/>
    <col min="3596" max="3596" width="12.140625" style="291" bestFit="1" customWidth="1"/>
    <col min="3597" max="3598" width="11.42578125" style="291"/>
    <col min="3599" max="3599" width="38.140625" style="291" bestFit="1" customWidth="1"/>
    <col min="3600" max="3600" width="11.42578125" style="291"/>
    <col min="3601" max="3605" width="12.28515625" style="291" bestFit="1" customWidth="1"/>
    <col min="3606" max="3841" width="11.42578125" style="291"/>
    <col min="3842" max="3842" width="31" style="291" bestFit="1" customWidth="1"/>
    <col min="3843" max="3843" width="13.85546875" style="291" bestFit="1" customWidth="1"/>
    <col min="3844" max="3845" width="12.28515625" style="291" bestFit="1" customWidth="1"/>
    <col min="3846" max="3848" width="13.85546875" style="291" bestFit="1" customWidth="1"/>
    <col min="3849" max="3849" width="12.28515625" style="291" bestFit="1" customWidth="1"/>
    <col min="3850" max="3850" width="13.85546875" style="291" bestFit="1" customWidth="1"/>
    <col min="3851" max="3851" width="12.7109375" style="291" bestFit="1" customWidth="1"/>
    <col min="3852" max="3852" width="12.140625" style="291" bestFit="1" customWidth="1"/>
    <col min="3853" max="3854" width="11.42578125" style="291"/>
    <col min="3855" max="3855" width="38.140625" style="291" bestFit="1" customWidth="1"/>
    <col min="3856" max="3856" width="11.42578125" style="291"/>
    <col min="3857" max="3861" width="12.28515625" style="291" bestFit="1" customWidth="1"/>
    <col min="3862" max="4097" width="11.42578125" style="291"/>
    <col min="4098" max="4098" width="31" style="291" bestFit="1" customWidth="1"/>
    <col min="4099" max="4099" width="13.85546875" style="291" bestFit="1" customWidth="1"/>
    <col min="4100" max="4101" width="12.28515625" style="291" bestFit="1" customWidth="1"/>
    <col min="4102" max="4104" width="13.85546875" style="291" bestFit="1" customWidth="1"/>
    <col min="4105" max="4105" width="12.28515625" style="291" bestFit="1" customWidth="1"/>
    <col min="4106" max="4106" width="13.85546875" style="291" bestFit="1" customWidth="1"/>
    <col min="4107" max="4107" width="12.7109375" style="291" bestFit="1" customWidth="1"/>
    <col min="4108" max="4108" width="12.140625" style="291" bestFit="1" customWidth="1"/>
    <col min="4109" max="4110" width="11.42578125" style="291"/>
    <col min="4111" max="4111" width="38.140625" style="291" bestFit="1" customWidth="1"/>
    <col min="4112" max="4112" width="11.42578125" style="291"/>
    <col min="4113" max="4117" width="12.28515625" style="291" bestFit="1" customWidth="1"/>
    <col min="4118" max="4353" width="11.42578125" style="291"/>
    <col min="4354" max="4354" width="31" style="291" bestFit="1" customWidth="1"/>
    <col min="4355" max="4355" width="13.85546875" style="291" bestFit="1" customWidth="1"/>
    <col min="4356" max="4357" width="12.28515625" style="291" bestFit="1" customWidth="1"/>
    <col min="4358" max="4360" width="13.85546875" style="291" bestFit="1" customWidth="1"/>
    <col min="4361" max="4361" width="12.28515625" style="291" bestFit="1" customWidth="1"/>
    <col min="4362" max="4362" width="13.85546875" style="291" bestFit="1" customWidth="1"/>
    <col min="4363" max="4363" width="12.7109375" style="291" bestFit="1" customWidth="1"/>
    <col min="4364" max="4364" width="12.140625" style="291" bestFit="1" customWidth="1"/>
    <col min="4365" max="4366" width="11.42578125" style="291"/>
    <col min="4367" max="4367" width="38.140625" style="291" bestFit="1" customWidth="1"/>
    <col min="4368" max="4368" width="11.42578125" style="291"/>
    <col min="4369" max="4373" width="12.28515625" style="291" bestFit="1" customWidth="1"/>
    <col min="4374" max="4609" width="11.42578125" style="291"/>
    <col min="4610" max="4610" width="31" style="291" bestFit="1" customWidth="1"/>
    <col min="4611" max="4611" width="13.85546875" style="291" bestFit="1" customWidth="1"/>
    <col min="4612" max="4613" width="12.28515625" style="291" bestFit="1" customWidth="1"/>
    <col min="4614" max="4616" width="13.85546875" style="291" bestFit="1" customWidth="1"/>
    <col min="4617" max="4617" width="12.28515625" style="291" bestFit="1" customWidth="1"/>
    <col min="4618" max="4618" width="13.85546875" style="291" bestFit="1" customWidth="1"/>
    <col min="4619" max="4619" width="12.7109375" style="291" bestFit="1" customWidth="1"/>
    <col min="4620" max="4620" width="12.140625" style="291" bestFit="1" customWidth="1"/>
    <col min="4621" max="4622" width="11.42578125" style="291"/>
    <col min="4623" max="4623" width="38.140625" style="291" bestFit="1" customWidth="1"/>
    <col min="4624" max="4624" width="11.42578125" style="291"/>
    <col min="4625" max="4629" width="12.28515625" style="291" bestFit="1" customWidth="1"/>
    <col min="4630" max="4865" width="11.42578125" style="291"/>
    <col min="4866" max="4866" width="31" style="291" bestFit="1" customWidth="1"/>
    <col min="4867" max="4867" width="13.85546875" style="291" bestFit="1" customWidth="1"/>
    <col min="4868" max="4869" width="12.28515625" style="291" bestFit="1" customWidth="1"/>
    <col min="4870" max="4872" width="13.85546875" style="291" bestFit="1" customWidth="1"/>
    <col min="4873" max="4873" width="12.28515625" style="291" bestFit="1" customWidth="1"/>
    <col min="4874" max="4874" width="13.85546875" style="291" bestFit="1" customWidth="1"/>
    <col min="4875" max="4875" width="12.7109375" style="291" bestFit="1" customWidth="1"/>
    <col min="4876" max="4876" width="12.140625" style="291" bestFit="1" customWidth="1"/>
    <col min="4877" max="4878" width="11.42578125" style="291"/>
    <col min="4879" max="4879" width="38.140625" style="291" bestFit="1" customWidth="1"/>
    <col min="4880" max="4880" width="11.42578125" style="291"/>
    <col min="4881" max="4885" width="12.28515625" style="291" bestFit="1" customWidth="1"/>
    <col min="4886" max="5121" width="11.42578125" style="291"/>
    <col min="5122" max="5122" width="31" style="291" bestFit="1" customWidth="1"/>
    <col min="5123" max="5123" width="13.85546875" style="291" bestFit="1" customWidth="1"/>
    <col min="5124" max="5125" width="12.28515625" style="291" bestFit="1" customWidth="1"/>
    <col min="5126" max="5128" width="13.85546875" style="291" bestFit="1" customWidth="1"/>
    <col min="5129" max="5129" width="12.28515625" style="291" bestFit="1" customWidth="1"/>
    <col min="5130" max="5130" width="13.85546875" style="291" bestFit="1" customWidth="1"/>
    <col min="5131" max="5131" width="12.7109375" style="291" bestFit="1" customWidth="1"/>
    <col min="5132" max="5132" width="12.140625" style="291" bestFit="1" customWidth="1"/>
    <col min="5133" max="5134" width="11.42578125" style="291"/>
    <col min="5135" max="5135" width="38.140625" style="291" bestFit="1" customWidth="1"/>
    <col min="5136" max="5136" width="11.42578125" style="291"/>
    <col min="5137" max="5141" width="12.28515625" style="291" bestFit="1" customWidth="1"/>
    <col min="5142" max="5377" width="11.42578125" style="291"/>
    <col min="5378" max="5378" width="31" style="291" bestFit="1" customWidth="1"/>
    <col min="5379" max="5379" width="13.85546875" style="291" bestFit="1" customWidth="1"/>
    <col min="5380" max="5381" width="12.28515625" style="291" bestFit="1" customWidth="1"/>
    <col min="5382" max="5384" width="13.85546875" style="291" bestFit="1" customWidth="1"/>
    <col min="5385" max="5385" width="12.28515625" style="291" bestFit="1" customWidth="1"/>
    <col min="5386" max="5386" width="13.85546875" style="291" bestFit="1" customWidth="1"/>
    <col min="5387" max="5387" width="12.7109375" style="291" bestFit="1" customWidth="1"/>
    <col min="5388" max="5388" width="12.140625" style="291" bestFit="1" customWidth="1"/>
    <col min="5389" max="5390" width="11.42578125" style="291"/>
    <col min="5391" max="5391" width="38.140625" style="291" bestFit="1" customWidth="1"/>
    <col min="5392" max="5392" width="11.42578125" style="291"/>
    <col min="5393" max="5397" width="12.28515625" style="291" bestFit="1" customWidth="1"/>
    <col min="5398" max="5633" width="11.42578125" style="291"/>
    <col min="5634" max="5634" width="31" style="291" bestFit="1" customWidth="1"/>
    <col min="5635" max="5635" width="13.85546875" style="291" bestFit="1" customWidth="1"/>
    <col min="5636" max="5637" width="12.28515625" style="291" bestFit="1" customWidth="1"/>
    <col min="5638" max="5640" width="13.85546875" style="291" bestFit="1" customWidth="1"/>
    <col min="5641" max="5641" width="12.28515625" style="291" bestFit="1" customWidth="1"/>
    <col min="5642" max="5642" width="13.85546875" style="291" bestFit="1" customWidth="1"/>
    <col min="5643" max="5643" width="12.7109375" style="291" bestFit="1" customWidth="1"/>
    <col min="5644" max="5644" width="12.140625" style="291" bestFit="1" customWidth="1"/>
    <col min="5645" max="5646" width="11.42578125" style="291"/>
    <col min="5647" max="5647" width="38.140625" style="291" bestFit="1" customWidth="1"/>
    <col min="5648" max="5648" width="11.42578125" style="291"/>
    <col min="5649" max="5653" width="12.28515625" style="291" bestFit="1" customWidth="1"/>
    <col min="5654" max="5889" width="11.42578125" style="291"/>
    <col min="5890" max="5890" width="31" style="291" bestFit="1" customWidth="1"/>
    <col min="5891" max="5891" width="13.85546875" style="291" bestFit="1" customWidth="1"/>
    <col min="5892" max="5893" width="12.28515625" style="291" bestFit="1" customWidth="1"/>
    <col min="5894" max="5896" width="13.85546875" style="291" bestFit="1" customWidth="1"/>
    <col min="5897" max="5897" width="12.28515625" style="291" bestFit="1" customWidth="1"/>
    <col min="5898" max="5898" width="13.85546875" style="291" bestFit="1" customWidth="1"/>
    <col min="5899" max="5899" width="12.7109375" style="291" bestFit="1" customWidth="1"/>
    <col min="5900" max="5900" width="12.140625" style="291" bestFit="1" customWidth="1"/>
    <col min="5901" max="5902" width="11.42578125" style="291"/>
    <col min="5903" max="5903" width="38.140625" style="291" bestFit="1" customWidth="1"/>
    <col min="5904" max="5904" width="11.42578125" style="291"/>
    <col min="5905" max="5909" width="12.28515625" style="291" bestFit="1" customWidth="1"/>
    <col min="5910" max="6145" width="11.42578125" style="291"/>
    <col min="6146" max="6146" width="31" style="291" bestFit="1" customWidth="1"/>
    <col min="6147" max="6147" width="13.85546875" style="291" bestFit="1" customWidth="1"/>
    <col min="6148" max="6149" width="12.28515625" style="291" bestFit="1" customWidth="1"/>
    <col min="6150" max="6152" width="13.85546875" style="291" bestFit="1" customWidth="1"/>
    <col min="6153" max="6153" width="12.28515625" style="291" bestFit="1" customWidth="1"/>
    <col min="6154" max="6154" width="13.85546875" style="291" bestFit="1" customWidth="1"/>
    <col min="6155" max="6155" width="12.7109375" style="291" bestFit="1" customWidth="1"/>
    <col min="6156" max="6156" width="12.140625" style="291" bestFit="1" customWidth="1"/>
    <col min="6157" max="6158" width="11.42578125" style="291"/>
    <col min="6159" max="6159" width="38.140625" style="291" bestFit="1" customWidth="1"/>
    <col min="6160" max="6160" width="11.42578125" style="291"/>
    <col min="6161" max="6165" width="12.28515625" style="291" bestFit="1" customWidth="1"/>
    <col min="6166" max="6401" width="11.42578125" style="291"/>
    <col min="6402" max="6402" width="31" style="291" bestFit="1" customWidth="1"/>
    <col min="6403" max="6403" width="13.85546875" style="291" bestFit="1" customWidth="1"/>
    <col min="6404" max="6405" width="12.28515625" style="291" bestFit="1" customWidth="1"/>
    <col min="6406" max="6408" width="13.85546875" style="291" bestFit="1" customWidth="1"/>
    <col min="6409" max="6409" width="12.28515625" style="291" bestFit="1" customWidth="1"/>
    <col min="6410" max="6410" width="13.85546875" style="291" bestFit="1" customWidth="1"/>
    <col min="6411" max="6411" width="12.7109375" style="291" bestFit="1" customWidth="1"/>
    <col min="6412" max="6412" width="12.140625" style="291" bestFit="1" customWidth="1"/>
    <col min="6413" max="6414" width="11.42578125" style="291"/>
    <col min="6415" max="6415" width="38.140625" style="291" bestFit="1" customWidth="1"/>
    <col min="6416" max="6416" width="11.42578125" style="291"/>
    <col min="6417" max="6421" width="12.28515625" style="291" bestFit="1" customWidth="1"/>
    <col min="6422" max="6657" width="11.42578125" style="291"/>
    <col min="6658" max="6658" width="31" style="291" bestFit="1" customWidth="1"/>
    <col min="6659" max="6659" width="13.85546875" style="291" bestFit="1" customWidth="1"/>
    <col min="6660" max="6661" width="12.28515625" style="291" bestFit="1" customWidth="1"/>
    <col min="6662" max="6664" width="13.85546875" style="291" bestFit="1" customWidth="1"/>
    <col min="6665" max="6665" width="12.28515625" style="291" bestFit="1" customWidth="1"/>
    <col min="6666" max="6666" width="13.85546875" style="291" bestFit="1" customWidth="1"/>
    <col min="6667" max="6667" width="12.7109375" style="291" bestFit="1" customWidth="1"/>
    <col min="6668" max="6668" width="12.140625" style="291" bestFit="1" customWidth="1"/>
    <col min="6669" max="6670" width="11.42578125" style="291"/>
    <col min="6671" max="6671" width="38.140625" style="291" bestFit="1" customWidth="1"/>
    <col min="6672" max="6672" width="11.42578125" style="291"/>
    <col min="6673" max="6677" width="12.28515625" style="291" bestFit="1" customWidth="1"/>
    <col min="6678" max="6913" width="11.42578125" style="291"/>
    <col min="6914" max="6914" width="31" style="291" bestFit="1" customWidth="1"/>
    <col min="6915" max="6915" width="13.85546875" style="291" bestFit="1" customWidth="1"/>
    <col min="6916" max="6917" width="12.28515625" style="291" bestFit="1" customWidth="1"/>
    <col min="6918" max="6920" width="13.85546875" style="291" bestFit="1" customWidth="1"/>
    <col min="6921" max="6921" width="12.28515625" style="291" bestFit="1" customWidth="1"/>
    <col min="6922" max="6922" width="13.85546875" style="291" bestFit="1" customWidth="1"/>
    <col min="6923" max="6923" width="12.7109375" style="291" bestFit="1" customWidth="1"/>
    <col min="6924" max="6924" width="12.140625" style="291" bestFit="1" customWidth="1"/>
    <col min="6925" max="6926" width="11.42578125" style="291"/>
    <col min="6927" max="6927" width="38.140625" style="291" bestFit="1" customWidth="1"/>
    <col min="6928" max="6928" width="11.42578125" style="291"/>
    <col min="6929" max="6933" width="12.28515625" style="291" bestFit="1" customWidth="1"/>
    <col min="6934" max="7169" width="11.42578125" style="291"/>
    <col min="7170" max="7170" width="31" style="291" bestFit="1" customWidth="1"/>
    <col min="7171" max="7171" width="13.85546875" style="291" bestFit="1" customWidth="1"/>
    <col min="7172" max="7173" width="12.28515625" style="291" bestFit="1" customWidth="1"/>
    <col min="7174" max="7176" width="13.85546875" style="291" bestFit="1" customWidth="1"/>
    <col min="7177" max="7177" width="12.28515625" style="291" bestFit="1" customWidth="1"/>
    <col min="7178" max="7178" width="13.85546875" style="291" bestFit="1" customWidth="1"/>
    <col min="7179" max="7179" width="12.7109375" style="291" bestFit="1" customWidth="1"/>
    <col min="7180" max="7180" width="12.140625" style="291" bestFit="1" customWidth="1"/>
    <col min="7181" max="7182" width="11.42578125" style="291"/>
    <col min="7183" max="7183" width="38.140625" style="291" bestFit="1" customWidth="1"/>
    <col min="7184" max="7184" width="11.42578125" style="291"/>
    <col min="7185" max="7189" width="12.28515625" style="291" bestFit="1" customWidth="1"/>
    <col min="7190" max="7425" width="11.42578125" style="291"/>
    <col min="7426" max="7426" width="31" style="291" bestFit="1" customWidth="1"/>
    <col min="7427" max="7427" width="13.85546875" style="291" bestFit="1" customWidth="1"/>
    <col min="7428" max="7429" width="12.28515625" style="291" bestFit="1" customWidth="1"/>
    <col min="7430" max="7432" width="13.85546875" style="291" bestFit="1" customWidth="1"/>
    <col min="7433" max="7433" width="12.28515625" style="291" bestFit="1" customWidth="1"/>
    <col min="7434" max="7434" width="13.85546875" style="291" bestFit="1" customWidth="1"/>
    <col min="7435" max="7435" width="12.7109375" style="291" bestFit="1" customWidth="1"/>
    <col min="7436" max="7436" width="12.140625" style="291" bestFit="1" customWidth="1"/>
    <col min="7437" max="7438" width="11.42578125" style="291"/>
    <col min="7439" max="7439" width="38.140625" style="291" bestFit="1" customWidth="1"/>
    <col min="7440" max="7440" width="11.42578125" style="291"/>
    <col min="7441" max="7445" width="12.28515625" style="291" bestFit="1" customWidth="1"/>
    <col min="7446" max="7681" width="11.42578125" style="291"/>
    <col min="7682" max="7682" width="31" style="291" bestFit="1" customWidth="1"/>
    <col min="7683" max="7683" width="13.85546875" style="291" bestFit="1" customWidth="1"/>
    <col min="7684" max="7685" width="12.28515625" style="291" bestFit="1" customWidth="1"/>
    <col min="7686" max="7688" width="13.85546875" style="291" bestFit="1" customWidth="1"/>
    <col min="7689" max="7689" width="12.28515625" style="291" bestFit="1" customWidth="1"/>
    <col min="7690" max="7690" width="13.85546875" style="291" bestFit="1" customWidth="1"/>
    <col min="7691" max="7691" width="12.7109375" style="291" bestFit="1" customWidth="1"/>
    <col min="7692" max="7692" width="12.140625" style="291" bestFit="1" customWidth="1"/>
    <col min="7693" max="7694" width="11.42578125" style="291"/>
    <col min="7695" max="7695" width="38.140625" style="291" bestFit="1" customWidth="1"/>
    <col min="7696" max="7696" width="11.42578125" style="291"/>
    <col min="7697" max="7701" width="12.28515625" style="291" bestFit="1" customWidth="1"/>
    <col min="7702" max="7937" width="11.42578125" style="291"/>
    <col min="7938" max="7938" width="31" style="291" bestFit="1" customWidth="1"/>
    <col min="7939" max="7939" width="13.85546875" style="291" bestFit="1" customWidth="1"/>
    <col min="7940" max="7941" width="12.28515625" style="291" bestFit="1" customWidth="1"/>
    <col min="7942" max="7944" width="13.85546875" style="291" bestFit="1" customWidth="1"/>
    <col min="7945" max="7945" width="12.28515625" style="291" bestFit="1" customWidth="1"/>
    <col min="7946" max="7946" width="13.85546875" style="291" bestFit="1" customWidth="1"/>
    <col min="7947" max="7947" width="12.7109375" style="291" bestFit="1" customWidth="1"/>
    <col min="7948" max="7948" width="12.140625" style="291" bestFit="1" customWidth="1"/>
    <col min="7949" max="7950" width="11.42578125" style="291"/>
    <col min="7951" max="7951" width="38.140625" style="291" bestFit="1" customWidth="1"/>
    <col min="7952" max="7952" width="11.42578125" style="291"/>
    <col min="7953" max="7957" width="12.28515625" style="291" bestFit="1" customWidth="1"/>
    <col min="7958" max="8193" width="11.42578125" style="291"/>
    <col min="8194" max="8194" width="31" style="291" bestFit="1" customWidth="1"/>
    <col min="8195" max="8195" width="13.85546875" style="291" bestFit="1" customWidth="1"/>
    <col min="8196" max="8197" width="12.28515625" style="291" bestFit="1" customWidth="1"/>
    <col min="8198" max="8200" width="13.85546875" style="291" bestFit="1" customWidth="1"/>
    <col min="8201" max="8201" width="12.28515625" style="291" bestFit="1" customWidth="1"/>
    <col min="8202" max="8202" width="13.85546875" style="291" bestFit="1" customWidth="1"/>
    <col min="8203" max="8203" width="12.7109375" style="291" bestFit="1" customWidth="1"/>
    <col min="8204" max="8204" width="12.140625" style="291" bestFit="1" customWidth="1"/>
    <col min="8205" max="8206" width="11.42578125" style="291"/>
    <col min="8207" max="8207" width="38.140625" style="291" bestFit="1" customWidth="1"/>
    <col min="8208" max="8208" width="11.42578125" style="291"/>
    <col min="8209" max="8213" width="12.28515625" style="291" bestFit="1" customWidth="1"/>
    <col min="8214" max="8449" width="11.42578125" style="291"/>
    <col min="8450" max="8450" width="31" style="291" bestFit="1" customWidth="1"/>
    <col min="8451" max="8451" width="13.85546875" style="291" bestFit="1" customWidth="1"/>
    <col min="8452" max="8453" width="12.28515625" style="291" bestFit="1" customWidth="1"/>
    <col min="8454" max="8456" width="13.85546875" style="291" bestFit="1" customWidth="1"/>
    <col min="8457" max="8457" width="12.28515625" style="291" bestFit="1" customWidth="1"/>
    <col min="8458" max="8458" width="13.85546875" style="291" bestFit="1" customWidth="1"/>
    <col min="8459" max="8459" width="12.7109375" style="291" bestFit="1" customWidth="1"/>
    <col min="8460" max="8460" width="12.140625" style="291" bestFit="1" customWidth="1"/>
    <col min="8461" max="8462" width="11.42578125" style="291"/>
    <col min="8463" max="8463" width="38.140625" style="291" bestFit="1" customWidth="1"/>
    <col min="8464" max="8464" width="11.42578125" style="291"/>
    <col min="8465" max="8469" width="12.28515625" style="291" bestFit="1" customWidth="1"/>
    <col min="8470" max="8705" width="11.42578125" style="291"/>
    <col min="8706" max="8706" width="31" style="291" bestFit="1" customWidth="1"/>
    <col min="8707" max="8707" width="13.85546875" style="291" bestFit="1" customWidth="1"/>
    <col min="8708" max="8709" width="12.28515625" style="291" bestFit="1" customWidth="1"/>
    <col min="8710" max="8712" width="13.85546875" style="291" bestFit="1" customWidth="1"/>
    <col min="8713" max="8713" width="12.28515625" style="291" bestFit="1" customWidth="1"/>
    <col min="8714" max="8714" width="13.85546875" style="291" bestFit="1" customWidth="1"/>
    <col min="8715" max="8715" width="12.7109375" style="291" bestFit="1" customWidth="1"/>
    <col min="8716" max="8716" width="12.140625" style="291" bestFit="1" customWidth="1"/>
    <col min="8717" max="8718" width="11.42578125" style="291"/>
    <col min="8719" max="8719" width="38.140625" style="291" bestFit="1" customWidth="1"/>
    <col min="8720" max="8720" width="11.42578125" style="291"/>
    <col min="8721" max="8725" width="12.28515625" style="291" bestFit="1" customWidth="1"/>
    <col min="8726" max="8961" width="11.42578125" style="291"/>
    <col min="8962" max="8962" width="31" style="291" bestFit="1" customWidth="1"/>
    <col min="8963" max="8963" width="13.85546875" style="291" bestFit="1" customWidth="1"/>
    <col min="8964" max="8965" width="12.28515625" style="291" bestFit="1" customWidth="1"/>
    <col min="8966" max="8968" width="13.85546875" style="291" bestFit="1" customWidth="1"/>
    <col min="8969" max="8969" width="12.28515625" style="291" bestFit="1" customWidth="1"/>
    <col min="8970" max="8970" width="13.85546875" style="291" bestFit="1" customWidth="1"/>
    <col min="8971" max="8971" width="12.7109375" style="291" bestFit="1" customWidth="1"/>
    <col min="8972" max="8972" width="12.140625" style="291" bestFit="1" customWidth="1"/>
    <col min="8973" max="8974" width="11.42578125" style="291"/>
    <col min="8975" max="8975" width="38.140625" style="291" bestFit="1" customWidth="1"/>
    <col min="8976" max="8976" width="11.42578125" style="291"/>
    <col min="8977" max="8981" width="12.28515625" style="291" bestFit="1" customWidth="1"/>
    <col min="8982" max="9217" width="11.42578125" style="291"/>
    <col min="9218" max="9218" width="31" style="291" bestFit="1" customWidth="1"/>
    <col min="9219" max="9219" width="13.85546875" style="291" bestFit="1" customWidth="1"/>
    <col min="9220" max="9221" width="12.28515625" style="291" bestFit="1" customWidth="1"/>
    <col min="9222" max="9224" width="13.85546875" style="291" bestFit="1" customWidth="1"/>
    <col min="9225" max="9225" width="12.28515625" style="291" bestFit="1" customWidth="1"/>
    <col min="9226" max="9226" width="13.85546875" style="291" bestFit="1" customWidth="1"/>
    <col min="9227" max="9227" width="12.7109375" style="291" bestFit="1" customWidth="1"/>
    <col min="9228" max="9228" width="12.140625" style="291" bestFit="1" customWidth="1"/>
    <col min="9229" max="9230" width="11.42578125" style="291"/>
    <col min="9231" max="9231" width="38.140625" style="291" bestFit="1" customWidth="1"/>
    <col min="9232" max="9232" width="11.42578125" style="291"/>
    <col min="9233" max="9237" width="12.28515625" style="291" bestFit="1" customWidth="1"/>
    <col min="9238" max="9473" width="11.42578125" style="291"/>
    <col min="9474" max="9474" width="31" style="291" bestFit="1" customWidth="1"/>
    <col min="9475" max="9475" width="13.85546875" style="291" bestFit="1" customWidth="1"/>
    <col min="9476" max="9477" width="12.28515625" style="291" bestFit="1" customWidth="1"/>
    <col min="9478" max="9480" width="13.85546875" style="291" bestFit="1" customWidth="1"/>
    <col min="9481" max="9481" width="12.28515625" style="291" bestFit="1" customWidth="1"/>
    <col min="9482" max="9482" width="13.85546875" style="291" bestFit="1" customWidth="1"/>
    <col min="9483" max="9483" width="12.7109375" style="291" bestFit="1" customWidth="1"/>
    <col min="9484" max="9484" width="12.140625" style="291" bestFit="1" customWidth="1"/>
    <col min="9485" max="9486" width="11.42578125" style="291"/>
    <col min="9487" max="9487" width="38.140625" style="291" bestFit="1" customWidth="1"/>
    <col min="9488" max="9488" width="11.42578125" style="291"/>
    <col min="9489" max="9493" width="12.28515625" style="291" bestFit="1" customWidth="1"/>
    <col min="9494" max="9729" width="11.42578125" style="291"/>
    <col min="9730" max="9730" width="31" style="291" bestFit="1" customWidth="1"/>
    <col min="9731" max="9731" width="13.85546875" style="291" bestFit="1" customWidth="1"/>
    <col min="9732" max="9733" width="12.28515625" style="291" bestFit="1" customWidth="1"/>
    <col min="9734" max="9736" width="13.85546875" style="291" bestFit="1" customWidth="1"/>
    <col min="9737" max="9737" width="12.28515625" style="291" bestFit="1" customWidth="1"/>
    <col min="9738" max="9738" width="13.85546875" style="291" bestFit="1" customWidth="1"/>
    <col min="9739" max="9739" width="12.7109375" style="291" bestFit="1" customWidth="1"/>
    <col min="9740" max="9740" width="12.140625" style="291" bestFit="1" customWidth="1"/>
    <col min="9741" max="9742" width="11.42578125" style="291"/>
    <col min="9743" max="9743" width="38.140625" style="291" bestFit="1" customWidth="1"/>
    <col min="9744" max="9744" width="11.42578125" style="291"/>
    <col min="9745" max="9749" width="12.28515625" style="291" bestFit="1" customWidth="1"/>
    <col min="9750" max="9985" width="11.42578125" style="291"/>
    <col min="9986" max="9986" width="31" style="291" bestFit="1" customWidth="1"/>
    <col min="9987" max="9987" width="13.85546875" style="291" bestFit="1" customWidth="1"/>
    <col min="9988" max="9989" width="12.28515625" style="291" bestFit="1" customWidth="1"/>
    <col min="9990" max="9992" width="13.85546875" style="291" bestFit="1" customWidth="1"/>
    <col min="9993" max="9993" width="12.28515625" style="291" bestFit="1" customWidth="1"/>
    <col min="9994" max="9994" width="13.85546875" style="291" bestFit="1" customWidth="1"/>
    <col min="9995" max="9995" width="12.7109375" style="291" bestFit="1" customWidth="1"/>
    <col min="9996" max="9996" width="12.140625" style="291" bestFit="1" customWidth="1"/>
    <col min="9997" max="9998" width="11.42578125" style="291"/>
    <col min="9999" max="9999" width="38.140625" style="291" bestFit="1" customWidth="1"/>
    <col min="10000" max="10000" width="11.42578125" style="291"/>
    <col min="10001" max="10005" width="12.28515625" style="291" bestFit="1" customWidth="1"/>
    <col min="10006" max="10241" width="11.42578125" style="291"/>
    <col min="10242" max="10242" width="31" style="291" bestFit="1" customWidth="1"/>
    <col min="10243" max="10243" width="13.85546875" style="291" bestFit="1" customWidth="1"/>
    <col min="10244" max="10245" width="12.28515625" style="291" bestFit="1" customWidth="1"/>
    <col min="10246" max="10248" width="13.85546875" style="291" bestFit="1" customWidth="1"/>
    <col min="10249" max="10249" width="12.28515625" style="291" bestFit="1" customWidth="1"/>
    <col min="10250" max="10250" width="13.85546875" style="291" bestFit="1" customWidth="1"/>
    <col min="10251" max="10251" width="12.7109375" style="291" bestFit="1" customWidth="1"/>
    <col min="10252" max="10252" width="12.140625" style="291" bestFit="1" customWidth="1"/>
    <col min="10253" max="10254" width="11.42578125" style="291"/>
    <col min="10255" max="10255" width="38.140625" style="291" bestFit="1" customWidth="1"/>
    <col min="10256" max="10256" width="11.42578125" style="291"/>
    <col min="10257" max="10261" width="12.28515625" style="291" bestFit="1" customWidth="1"/>
    <col min="10262" max="10497" width="11.42578125" style="291"/>
    <col min="10498" max="10498" width="31" style="291" bestFit="1" customWidth="1"/>
    <col min="10499" max="10499" width="13.85546875" style="291" bestFit="1" customWidth="1"/>
    <col min="10500" max="10501" width="12.28515625" style="291" bestFit="1" customWidth="1"/>
    <col min="10502" max="10504" width="13.85546875" style="291" bestFit="1" customWidth="1"/>
    <col min="10505" max="10505" width="12.28515625" style="291" bestFit="1" customWidth="1"/>
    <col min="10506" max="10506" width="13.85546875" style="291" bestFit="1" customWidth="1"/>
    <col min="10507" max="10507" width="12.7109375" style="291" bestFit="1" customWidth="1"/>
    <col min="10508" max="10508" width="12.140625" style="291" bestFit="1" customWidth="1"/>
    <col min="10509" max="10510" width="11.42578125" style="291"/>
    <col min="10511" max="10511" width="38.140625" style="291" bestFit="1" customWidth="1"/>
    <col min="10512" max="10512" width="11.42578125" style="291"/>
    <col min="10513" max="10517" width="12.28515625" style="291" bestFit="1" customWidth="1"/>
    <col min="10518" max="10753" width="11.42578125" style="291"/>
    <col min="10754" max="10754" width="31" style="291" bestFit="1" customWidth="1"/>
    <col min="10755" max="10755" width="13.85546875" style="291" bestFit="1" customWidth="1"/>
    <col min="10756" max="10757" width="12.28515625" style="291" bestFit="1" customWidth="1"/>
    <col min="10758" max="10760" width="13.85546875" style="291" bestFit="1" customWidth="1"/>
    <col min="10761" max="10761" width="12.28515625" style="291" bestFit="1" customWidth="1"/>
    <col min="10762" max="10762" width="13.85546875" style="291" bestFit="1" customWidth="1"/>
    <col min="10763" max="10763" width="12.7109375" style="291" bestFit="1" customWidth="1"/>
    <col min="10764" max="10764" width="12.140625" style="291" bestFit="1" customWidth="1"/>
    <col min="10765" max="10766" width="11.42578125" style="291"/>
    <col min="10767" max="10767" width="38.140625" style="291" bestFit="1" customWidth="1"/>
    <col min="10768" max="10768" width="11.42578125" style="291"/>
    <col min="10769" max="10773" width="12.28515625" style="291" bestFit="1" customWidth="1"/>
    <col min="10774" max="11009" width="11.42578125" style="291"/>
    <col min="11010" max="11010" width="31" style="291" bestFit="1" customWidth="1"/>
    <col min="11011" max="11011" width="13.85546875" style="291" bestFit="1" customWidth="1"/>
    <col min="11012" max="11013" width="12.28515625" style="291" bestFit="1" customWidth="1"/>
    <col min="11014" max="11016" width="13.85546875" style="291" bestFit="1" customWidth="1"/>
    <col min="11017" max="11017" width="12.28515625" style="291" bestFit="1" customWidth="1"/>
    <col min="11018" max="11018" width="13.85546875" style="291" bestFit="1" customWidth="1"/>
    <col min="11019" max="11019" width="12.7109375" style="291" bestFit="1" customWidth="1"/>
    <col min="11020" max="11020" width="12.140625" style="291" bestFit="1" customWidth="1"/>
    <col min="11021" max="11022" width="11.42578125" style="291"/>
    <col min="11023" max="11023" width="38.140625" style="291" bestFit="1" customWidth="1"/>
    <col min="11024" max="11024" width="11.42578125" style="291"/>
    <col min="11025" max="11029" width="12.28515625" style="291" bestFit="1" customWidth="1"/>
    <col min="11030" max="11265" width="11.42578125" style="291"/>
    <col min="11266" max="11266" width="31" style="291" bestFit="1" customWidth="1"/>
    <col min="11267" max="11267" width="13.85546875" style="291" bestFit="1" customWidth="1"/>
    <col min="11268" max="11269" width="12.28515625" style="291" bestFit="1" customWidth="1"/>
    <col min="11270" max="11272" width="13.85546875" style="291" bestFit="1" customWidth="1"/>
    <col min="11273" max="11273" width="12.28515625" style="291" bestFit="1" customWidth="1"/>
    <col min="11274" max="11274" width="13.85546875" style="291" bestFit="1" customWidth="1"/>
    <col min="11275" max="11275" width="12.7109375" style="291" bestFit="1" customWidth="1"/>
    <col min="11276" max="11276" width="12.140625" style="291" bestFit="1" customWidth="1"/>
    <col min="11277" max="11278" width="11.42578125" style="291"/>
    <col min="11279" max="11279" width="38.140625" style="291" bestFit="1" customWidth="1"/>
    <col min="11280" max="11280" width="11.42578125" style="291"/>
    <col min="11281" max="11285" width="12.28515625" style="291" bestFit="1" customWidth="1"/>
    <col min="11286" max="11521" width="11.42578125" style="291"/>
    <col min="11522" max="11522" width="31" style="291" bestFit="1" customWidth="1"/>
    <col min="11523" max="11523" width="13.85546875" style="291" bestFit="1" customWidth="1"/>
    <col min="11524" max="11525" width="12.28515625" style="291" bestFit="1" customWidth="1"/>
    <col min="11526" max="11528" width="13.85546875" style="291" bestFit="1" customWidth="1"/>
    <col min="11529" max="11529" width="12.28515625" style="291" bestFit="1" customWidth="1"/>
    <col min="11530" max="11530" width="13.85546875" style="291" bestFit="1" customWidth="1"/>
    <col min="11531" max="11531" width="12.7109375" style="291" bestFit="1" customWidth="1"/>
    <col min="11532" max="11532" width="12.140625" style="291" bestFit="1" customWidth="1"/>
    <col min="11533" max="11534" width="11.42578125" style="291"/>
    <col min="11535" max="11535" width="38.140625" style="291" bestFit="1" customWidth="1"/>
    <col min="11536" max="11536" width="11.42578125" style="291"/>
    <col min="11537" max="11541" width="12.28515625" style="291" bestFit="1" customWidth="1"/>
    <col min="11542" max="11777" width="11.42578125" style="291"/>
    <col min="11778" max="11778" width="31" style="291" bestFit="1" customWidth="1"/>
    <col min="11779" max="11779" width="13.85546875" style="291" bestFit="1" customWidth="1"/>
    <col min="11780" max="11781" width="12.28515625" style="291" bestFit="1" customWidth="1"/>
    <col min="11782" max="11784" width="13.85546875" style="291" bestFit="1" customWidth="1"/>
    <col min="11785" max="11785" width="12.28515625" style="291" bestFit="1" customWidth="1"/>
    <col min="11786" max="11786" width="13.85546875" style="291" bestFit="1" customWidth="1"/>
    <col min="11787" max="11787" width="12.7109375" style="291" bestFit="1" customWidth="1"/>
    <col min="11788" max="11788" width="12.140625" style="291" bestFit="1" customWidth="1"/>
    <col min="11789" max="11790" width="11.42578125" style="291"/>
    <col min="11791" max="11791" width="38.140625" style="291" bestFit="1" customWidth="1"/>
    <col min="11792" max="11792" width="11.42578125" style="291"/>
    <col min="11793" max="11797" width="12.28515625" style="291" bestFit="1" customWidth="1"/>
    <col min="11798" max="12033" width="11.42578125" style="291"/>
    <col min="12034" max="12034" width="31" style="291" bestFit="1" customWidth="1"/>
    <col min="12035" max="12035" width="13.85546875" style="291" bestFit="1" customWidth="1"/>
    <col min="12036" max="12037" width="12.28515625" style="291" bestFit="1" customWidth="1"/>
    <col min="12038" max="12040" width="13.85546875" style="291" bestFit="1" customWidth="1"/>
    <col min="12041" max="12041" width="12.28515625" style="291" bestFit="1" customWidth="1"/>
    <col min="12042" max="12042" width="13.85546875" style="291" bestFit="1" customWidth="1"/>
    <col min="12043" max="12043" width="12.7109375" style="291" bestFit="1" customWidth="1"/>
    <col min="12044" max="12044" width="12.140625" style="291" bestFit="1" customWidth="1"/>
    <col min="12045" max="12046" width="11.42578125" style="291"/>
    <col min="12047" max="12047" width="38.140625" style="291" bestFit="1" customWidth="1"/>
    <col min="12048" max="12048" width="11.42578125" style="291"/>
    <col min="12049" max="12053" width="12.28515625" style="291" bestFit="1" customWidth="1"/>
    <col min="12054" max="12289" width="11.42578125" style="291"/>
    <col min="12290" max="12290" width="31" style="291" bestFit="1" customWidth="1"/>
    <col min="12291" max="12291" width="13.85546875" style="291" bestFit="1" customWidth="1"/>
    <col min="12292" max="12293" width="12.28515625" style="291" bestFit="1" customWidth="1"/>
    <col min="12294" max="12296" width="13.85546875" style="291" bestFit="1" customWidth="1"/>
    <col min="12297" max="12297" width="12.28515625" style="291" bestFit="1" customWidth="1"/>
    <col min="12298" max="12298" width="13.85546875" style="291" bestFit="1" customWidth="1"/>
    <col min="12299" max="12299" width="12.7109375" style="291" bestFit="1" customWidth="1"/>
    <col min="12300" max="12300" width="12.140625" style="291" bestFit="1" customWidth="1"/>
    <col min="12301" max="12302" width="11.42578125" style="291"/>
    <col min="12303" max="12303" width="38.140625" style="291" bestFit="1" customWidth="1"/>
    <col min="12304" max="12304" width="11.42578125" style="291"/>
    <col min="12305" max="12309" width="12.28515625" style="291" bestFit="1" customWidth="1"/>
    <col min="12310" max="12545" width="11.42578125" style="291"/>
    <col min="12546" max="12546" width="31" style="291" bestFit="1" customWidth="1"/>
    <col min="12547" max="12547" width="13.85546875" style="291" bestFit="1" customWidth="1"/>
    <col min="12548" max="12549" width="12.28515625" style="291" bestFit="1" customWidth="1"/>
    <col min="12550" max="12552" width="13.85546875" style="291" bestFit="1" customWidth="1"/>
    <col min="12553" max="12553" width="12.28515625" style="291" bestFit="1" customWidth="1"/>
    <col min="12554" max="12554" width="13.85546875" style="291" bestFit="1" customWidth="1"/>
    <col min="12555" max="12555" width="12.7109375" style="291" bestFit="1" customWidth="1"/>
    <col min="12556" max="12556" width="12.140625" style="291" bestFit="1" customWidth="1"/>
    <col min="12557" max="12558" width="11.42578125" style="291"/>
    <col min="12559" max="12559" width="38.140625" style="291" bestFit="1" customWidth="1"/>
    <col min="12560" max="12560" width="11.42578125" style="291"/>
    <col min="12561" max="12565" width="12.28515625" style="291" bestFit="1" customWidth="1"/>
    <col min="12566" max="12801" width="11.42578125" style="291"/>
    <col min="12802" max="12802" width="31" style="291" bestFit="1" customWidth="1"/>
    <col min="12803" max="12803" width="13.85546875" style="291" bestFit="1" customWidth="1"/>
    <col min="12804" max="12805" width="12.28515625" style="291" bestFit="1" customWidth="1"/>
    <col min="12806" max="12808" width="13.85546875" style="291" bestFit="1" customWidth="1"/>
    <col min="12809" max="12809" width="12.28515625" style="291" bestFit="1" customWidth="1"/>
    <col min="12810" max="12810" width="13.85546875" style="291" bestFit="1" customWidth="1"/>
    <col min="12811" max="12811" width="12.7109375" style="291" bestFit="1" customWidth="1"/>
    <col min="12812" max="12812" width="12.140625" style="291" bestFit="1" customWidth="1"/>
    <col min="12813" max="12814" width="11.42578125" style="291"/>
    <col min="12815" max="12815" width="38.140625" style="291" bestFit="1" customWidth="1"/>
    <col min="12816" max="12816" width="11.42578125" style="291"/>
    <col min="12817" max="12821" width="12.28515625" style="291" bestFit="1" customWidth="1"/>
    <col min="12822" max="13057" width="11.42578125" style="291"/>
    <col min="13058" max="13058" width="31" style="291" bestFit="1" customWidth="1"/>
    <col min="13059" max="13059" width="13.85546875" style="291" bestFit="1" customWidth="1"/>
    <col min="13060" max="13061" width="12.28515625" style="291" bestFit="1" customWidth="1"/>
    <col min="13062" max="13064" width="13.85546875" style="291" bestFit="1" customWidth="1"/>
    <col min="13065" max="13065" width="12.28515625" style="291" bestFit="1" customWidth="1"/>
    <col min="13066" max="13066" width="13.85546875" style="291" bestFit="1" customWidth="1"/>
    <col min="13067" max="13067" width="12.7109375" style="291" bestFit="1" customWidth="1"/>
    <col min="13068" max="13068" width="12.140625" style="291" bestFit="1" customWidth="1"/>
    <col min="13069" max="13070" width="11.42578125" style="291"/>
    <col min="13071" max="13071" width="38.140625" style="291" bestFit="1" customWidth="1"/>
    <col min="13072" max="13072" width="11.42578125" style="291"/>
    <col min="13073" max="13077" width="12.28515625" style="291" bestFit="1" customWidth="1"/>
    <col min="13078" max="13313" width="11.42578125" style="291"/>
    <col min="13314" max="13314" width="31" style="291" bestFit="1" customWidth="1"/>
    <col min="13315" max="13315" width="13.85546875" style="291" bestFit="1" customWidth="1"/>
    <col min="13316" max="13317" width="12.28515625" style="291" bestFit="1" customWidth="1"/>
    <col min="13318" max="13320" width="13.85546875" style="291" bestFit="1" customWidth="1"/>
    <col min="13321" max="13321" width="12.28515625" style="291" bestFit="1" customWidth="1"/>
    <col min="13322" max="13322" width="13.85546875" style="291" bestFit="1" customWidth="1"/>
    <col min="13323" max="13323" width="12.7109375" style="291" bestFit="1" customWidth="1"/>
    <col min="13324" max="13324" width="12.140625" style="291" bestFit="1" customWidth="1"/>
    <col min="13325" max="13326" width="11.42578125" style="291"/>
    <col min="13327" max="13327" width="38.140625" style="291" bestFit="1" customWidth="1"/>
    <col min="13328" max="13328" width="11.42578125" style="291"/>
    <col min="13329" max="13333" width="12.28515625" style="291" bestFit="1" customWidth="1"/>
    <col min="13334" max="13569" width="11.42578125" style="291"/>
    <col min="13570" max="13570" width="31" style="291" bestFit="1" customWidth="1"/>
    <col min="13571" max="13571" width="13.85546875" style="291" bestFit="1" customWidth="1"/>
    <col min="13572" max="13573" width="12.28515625" style="291" bestFit="1" customWidth="1"/>
    <col min="13574" max="13576" width="13.85546875" style="291" bestFit="1" customWidth="1"/>
    <col min="13577" max="13577" width="12.28515625" style="291" bestFit="1" customWidth="1"/>
    <col min="13578" max="13578" width="13.85546875" style="291" bestFit="1" customWidth="1"/>
    <col min="13579" max="13579" width="12.7109375" style="291" bestFit="1" customWidth="1"/>
    <col min="13580" max="13580" width="12.140625" style="291" bestFit="1" customWidth="1"/>
    <col min="13581" max="13582" width="11.42578125" style="291"/>
    <col min="13583" max="13583" width="38.140625" style="291" bestFit="1" customWidth="1"/>
    <col min="13584" max="13584" width="11.42578125" style="291"/>
    <col min="13585" max="13589" width="12.28515625" style="291" bestFit="1" customWidth="1"/>
    <col min="13590" max="13825" width="11.42578125" style="291"/>
    <col min="13826" max="13826" width="31" style="291" bestFit="1" customWidth="1"/>
    <col min="13827" max="13827" width="13.85546875" style="291" bestFit="1" customWidth="1"/>
    <col min="13828" max="13829" width="12.28515625" style="291" bestFit="1" customWidth="1"/>
    <col min="13830" max="13832" width="13.85546875" style="291" bestFit="1" customWidth="1"/>
    <col min="13833" max="13833" width="12.28515625" style="291" bestFit="1" customWidth="1"/>
    <col min="13834" max="13834" width="13.85546875" style="291" bestFit="1" customWidth="1"/>
    <col min="13835" max="13835" width="12.7109375" style="291" bestFit="1" customWidth="1"/>
    <col min="13836" max="13836" width="12.140625" style="291" bestFit="1" customWidth="1"/>
    <col min="13837" max="13838" width="11.42578125" style="291"/>
    <col min="13839" max="13839" width="38.140625" style="291" bestFit="1" customWidth="1"/>
    <col min="13840" max="13840" width="11.42578125" style="291"/>
    <col min="13841" max="13845" width="12.28515625" style="291" bestFit="1" customWidth="1"/>
    <col min="13846" max="14081" width="11.42578125" style="291"/>
    <col min="14082" max="14082" width="31" style="291" bestFit="1" customWidth="1"/>
    <col min="14083" max="14083" width="13.85546875" style="291" bestFit="1" customWidth="1"/>
    <col min="14084" max="14085" width="12.28515625" style="291" bestFit="1" customWidth="1"/>
    <col min="14086" max="14088" width="13.85546875" style="291" bestFit="1" customWidth="1"/>
    <col min="14089" max="14089" width="12.28515625" style="291" bestFit="1" customWidth="1"/>
    <col min="14090" max="14090" width="13.85546875" style="291" bestFit="1" customWidth="1"/>
    <col min="14091" max="14091" width="12.7109375" style="291" bestFit="1" customWidth="1"/>
    <col min="14092" max="14092" width="12.140625" style="291" bestFit="1" customWidth="1"/>
    <col min="14093" max="14094" width="11.42578125" style="291"/>
    <col min="14095" max="14095" width="38.140625" style="291" bestFit="1" customWidth="1"/>
    <col min="14096" max="14096" width="11.42578125" style="291"/>
    <col min="14097" max="14101" width="12.28515625" style="291" bestFit="1" customWidth="1"/>
    <col min="14102" max="14337" width="11.42578125" style="291"/>
    <col min="14338" max="14338" width="31" style="291" bestFit="1" customWidth="1"/>
    <col min="14339" max="14339" width="13.85546875" style="291" bestFit="1" customWidth="1"/>
    <col min="14340" max="14341" width="12.28515625" style="291" bestFit="1" customWidth="1"/>
    <col min="14342" max="14344" width="13.85546875" style="291" bestFit="1" customWidth="1"/>
    <col min="14345" max="14345" width="12.28515625" style="291" bestFit="1" customWidth="1"/>
    <col min="14346" max="14346" width="13.85546875" style="291" bestFit="1" customWidth="1"/>
    <col min="14347" max="14347" width="12.7109375" style="291" bestFit="1" customWidth="1"/>
    <col min="14348" max="14348" width="12.140625" style="291" bestFit="1" customWidth="1"/>
    <col min="14349" max="14350" width="11.42578125" style="291"/>
    <col min="14351" max="14351" width="38.140625" style="291" bestFit="1" customWidth="1"/>
    <col min="14352" max="14352" width="11.42578125" style="291"/>
    <col min="14353" max="14357" width="12.28515625" style="291" bestFit="1" customWidth="1"/>
    <col min="14358" max="14593" width="11.42578125" style="291"/>
    <col min="14594" max="14594" width="31" style="291" bestFit="1" customWidth="1"/>
    <col min="14595" max="14595" width="13.85546875" style="291" bestFit="1" customWidth="1"/>
    <col min="14596" max="14597" width="12.28515625" style="291" bestFit="1" customWidth="1"/>
    <col min="14598" max="14600" width="13.85546875" style="291" bestFit="1" customWidth="1"/>
    <col min="14601" max="14601" width="12.28515625" style="291" bestFit="1" customWidth="1"/>
    <col min="14602" max="14602" width="13.85546875" style="291" bestFit="1" customWidth="1"/>
    <col min="14603" max="14603" width="12.7109375" style="291" bestFit="1" customWidth="1"/>
    <col min="14604" max="14604" width="12.140625" style="291" bestFit="1" customWidth="1"/>
    <col min="14605" max="14606" width="11.42578125" style="291"/>
    <col min="14607" max="14607" width="38.140625" style="291" bestFit="1" customWidth="1"/>
    <col min="14608" max="14608" width="11.42578125" style="291"/>
    <col min="14609" max="14613" width="12.28515625" style="291" bestFit="1" customWidth="1"/>
    <col min="14614" max="14849" width="11.42578125" style="291"/>
    <col min="14850" max="14850" width="31" style="291" bestFit="1" customWidth="1"/>
    <col min="14851" max="14851" width="13.85546875" style="291" bestFit="1" customWidth="1"/>
    <col min="14852" max="14853" width="12.28515625" style="291" bestFit="1" customWidth="1"/>
    <col min="14854" max="14856" width="13.85546875" style="291" bestFit="1" customWidth="1"/>
    <col min="14857" max="14857" width="12.28515625" style="291" bestFit="1" customWidth="1"/>
    <col min="14858" max="14858" width="13.85546875" style="291" bestFit="1" customWidth="1"/>
    <col min="14859" max="14859" width="12.7109375" style="291" bestFit="1" customWidth="1"/>
    <col min="14860" max="14860" width="12.140625" style="291" bestFit="1" customWidth="1"/>
    <col min="14861" max="14862" width="11.42578125" style="291"/>
    <col min="14863" max="14863" width="38.140625" style="291" bestFit="1" customWidth="1"/>
    <col min="14864" max="14864" width="11.42578125" style="291"/>
    <col min="14865" max="14869" width="12.28515625" style="291" bestFit="1" customWidth="1"/>
    <col min="14870" max="15105" width="11.42578125" style="291"/>
    <col min="15106" max="15106" width="31" style="291" bestFit="1" customWidth="1"/>
    <col min="15107" max="15107" width="13.85546875" style="291" bestFit="1" customWidth="1"/>
    <col min="15108" max="15109" width="12.28515625" style="291" bestFit="1" customWidth="1"/>
    <col min="15110" max="15112" width="13.85546875" style="291" bestFit="1" customWidth="1"/>
    <col min="15113" max="15113" width="12.28515625" style="291" bestFit="1" customWidth="1"/>
    <col min="15114" max="15114" width="13.85546875" style="291" bestFit="1" customWidth="1"/>
    <col min="15115" max="15115" width="12.7109375" style="291" bestFit="1" customWidth="1"/>
    <col min="15116" max="15116" width="12.140625" style="291" bestFit="1" customWidth="1"/>
    <col min="15117" max="15118" width="11.42578125" style="291"/>
    <col min="15119" max="15119" width="38.140625" style="291" bestFit="1" customWidth="1"/>
    <col min="15120" max="15120" width="11.42578125" style="291"/>
    <col min="15121" max="15125" width="12.28515625" style="291" bestFit="1" customWidth="1"/>
    <col min="15126" max="15361" width="11.42578125" style="291"/>
    <col min="15362" max="15362" width="31" style="291" bestFit="1" customWidth="1"/>
    <col min="15363" max="15363" width="13.85546875" style="291" bestFit="1" customWidth="1"/>
    <col min="15364" max="15365" width="12.28515625" style="291" bestFit="1" customWidth="1"/>
    <col min="15366" max="15368" width="13.85546875" style="291" bestFit="1" customWidth="1"/>
    <col min="15369" max="15369" width="12.28515625" style="291" bestFit="1" customWidth="1"/>
    <col min="15370" max="15370" width="13.85546875" style="291" bestFit="1" customWidth="1"/>
    <col min="15371" max="15371" width="12.7109375" style="291" bestFit="1" customWidth="1"/>
    <col min="15372" max="15372" width="12.140625" style="291" bestFit="1" customWidth="1"/>
    <col min="15373" max="15374" width="11.42578125" style="291"/>
    <col min="15375" max="15375" width="38.140625" style="291" bestFit="1" customWidth="1"/>
    <col min="15376" max="15376" width="11.42578125" style="291"/>
    <col min="15377" max="15381" width="12.28515625" style="291" bestFit="1" customWidth="1"/>
    <col min="15382" max="15617" width="11.42578125" style="291"/>
    <col min="15618" max="15618" width="31" style="291" bestFit="1" customWidth="1"/>
    <col min="15619" max="15619" width="13.85546875" style="291" bestFit="1" customWidth="1"/>
    <col min="15620" max="15621" width="12.28515625" style="291" bestFit="1" customWidth="1"/>
    <col min="15622" max="15624" width="13.85546875" style="291" bestFit="1" customWidth="1"/>
    <col min="15625" max="15625" width="12.28515625" style="291" bestFit="1" customWidth="1"/>
    <col min="15626" max="15626" width="13.85546875" style="291" bestFit="1" customWidth="1"/>
    <col min="15627" max="15627" width="12.7109375" style="291" bestFit="1" customWidth="1"/>
    <col min="15628" max="15628" width="12.140625" style="291" bestFit="1" customWidth="1"/>
    <col min="15629" max="15630" width="11.42578125" style="291"/>
    <col min="15631" max="15631" width="38.140625" style="291" bestFit="1" customWidth="1"/>
    <col min="15632" max="15632" width="11.42578125" style="291"/>
    <col min="15633" max="15637" width="12.28515625" style="291" bestFit="1" customWidth="1"/>
    <col min="15638" max="15873" width="11.42578125" style="291"/>
    <col min="15874" max="15874" width="31" style="291" bestFit="1" customWidth="1"/>
    <col min="15875" max="15875" width="13.85546875" style="291" bestFit="1" customWidth="1"/>
    <col min="15876" max="15877" width="12.28515625" style="291" bestFit="1" customWidth="1"/>
    <col min="15878" max="15880" width="13.85546875" style="291" bestFit="1" customWidth="1"/>
    <col min="15881" max="15881" width="12.28515625" style="291" bestFit="1" customWidth="1"/>
    <col min="15882" max="15882" width="13.85546875" style="291" bestFit="1" customWidth="1"/>
    <col min="15883" max="15883" width="12.7109375" style="291" bestFit="1" customWidth="1"/>
    <col min="15884" max="15884" width="12.140625" style="291" bestFit="1" customWidth="1"/>
    <col min="15885" max="15886" width="11.42578125" style="291"/>
    <col min="15887" max="15887" width="38.140625" style="291" bestFit="1" customWidth="1"/>
    <col min="15888" max="15888" width="11.42578125" style="291"/>
    <col min="15889" max="15893" width="12.28515625" style="291" bestFit="1" customWidth="1"/>
    <col min="15894" max="16129" width="11.42578125" style="291"/>
    <col min="16130" max="16130" width="31" style="291" bestFit="1" customWidth="1"/>
    <col min="16131" max="16131" width="13.85546875" style="291" bestFit="1" customWidth="1"/>
    <col min="16132" max="16133" width="12.28515625" style="291" bestFit="1" customWidth="1"/>
    <col min="16134" max="16136" width="13.85546875" style="291" bestFit="1" customWidth="1"/>
    <col min="16137" max="16137" width="12.28515625" style="291" bestFit="1" customWidth="1"/>
    <col min="16138" max="16138" width="13.85546875" style="291" bestFit="1" customWidth="1"/>
    <col min="16139" max="16139" width="12.7109375" style="291" bestFit="1" customWidth="1"/>
    <col min="16140" max="16140" width="12.140625" style="291" bestFit="1" customWidth="1"/>
    <col min="16141" max="16142" width="11.42578125" style="291"/>
    <col min="16143" max="16143" width="38.140625" style="291" bestFit="1" customWidth="1"/>
    <col min="16144" max="16144" width="11.42578125" style="291"/>
    <col min="16145" max="16149" width="12.28515625" style="291" bestFit="1" customWidth="1"/>
    <col min="16150" max="16384" width="11.42578125" style="291"/>
  </cols>
  <sheetData>
    <row r="1" spans="2:13"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2:13">
      <c r="B2" s="385"/>
      <c r="C2" s="534"/>
      <c r="D2" s="534"/>
      <c r="E2" s="534"/>
      <c r="F2" s="534"/>
      <c r="G2" s="534"/>
      <c r="H2" s="534"/>
      <c r="I2" s="534"/>
      <c r="J2" s="535"/>
      <c r="K2" s="385"/>
      <c r="L2" s="385"/>
      <c r="M2" s="385"/>
    </row>
    <row r="3" spans="2:13">
      <c r="B3" s="552"/>
      <c r="C3" s="552"/>
      <c r="D3" s="552"/>
      <c r="E3" s="552"/>
      <c r="F3" s="552"/>
      <c r="G3" s="552"/>
      <c r="H3" s="552"/>
      <c r="I3" s="552"/>
      <c r="J3" s="552"/>
      <c r="K3" s="385"/>
      <c r="L3" s="385"/>
      <c r="M3" s="385"/>
    </row>
    <row r="4" spans="2:13">
      <c r="B4" s="552"/>
      <c r="C4" s="552"/>
      <c r="D4" s="552"/>
      <c r="E4" s="552"/>
      <c r="F4" s="552"/>
      <c r="G4" s="552"/>
      <c r="H4" s="552"/>
      <c r="I4" s="552"/>
      <c r="J4" s="552"/>
      <c r="K4" s="385"/>
      <c r="L4" s="385"/>
      <c r="M4" s="385"/>
    </row>
    <row r="5" spans="2:13"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2:13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</row>
    <row r="7" spans="2:13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</row>
    <row r="8" spans="2:13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</row>
    <row r="9" spans="2:13">
      <c r="B9" s="386"/>
      <c r="C9" s="385"/>
      <c r="D9" s="385"/>
      <c r="E9" s="385"/>
      <c r="F9" s="385"/>
      <c r="G9" s="385"/>
      <c r="H9" s="385"/>
      <c r="I9" s="385"/>
      <c r="J9" s="385"/>
      <c r="K9" s="385"/>
      <c r="L9" s="386"/>
      <c r="M9" s="385"/>
    </row>
    <row r="10" spans="2:13"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5"/>
    </row>
    <row r="11" spans="2:13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5"/>
    </row>
    <row r="12" spans="2:13"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5"/>
    </row>
    <row r="13" spans="2:13"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5"/>
    </row>
    <row r="14" spans="2:13"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5"/>
    </row>
    <row r="15" spans="2:13"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5"/>
    </row>
    <row r="16" spans="2:13"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5"/>
    </row>
    <row r="17" spans="2:21"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5"/>
    </row>
    <row r="18" spans="2:21"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</row>
    <row r="19" spans="2:21"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</row>
    <row r="20" spans="2:21">
      <c r="B20" s="342"/>
      <c r="C20" s="343"/>
      <c r="D20" s="343"/>
      <c r="E20" s="343"/>
      <c r="F20" s="343"/>
      <c r="G20" s="343"/>
      <c r="H20" s="343"/>
      <c r="I20" s="343"/>
      <c r="J20" s="344"/>
      <c r="O20" s="345"/>
      <c r="P20" s="345"/>
      <c r="Q20" s="345"/>
      <c r="R20" s="345"/>
      <c r="S20" s="345"/>
      <c r="T20" s="345"/>
      <c r="U20" s="345"/>
    </row>
    <row r="21" spans="2:21">
      <c r="B21" s="553" t="s">
        <v>412</v>
      </c>
      <c r="C21" s="553"/>
      <c r="D21" s="553"/>
      <c r="E21" s="553"/>
      <c r="F21" s="553"/>
      <c r="G21" s="553"/>
      <c r="H21" s="553"/>
      <c r="I21" s="553"/>
      <c r="J21" s="553"/>
      <c r="O21" s="345"/>
      <c r="P21" s="345"/>
      <c r="Q21" s="345"/>
      <c r="R21" s="345"/>
      <c r="S21" s="345"/>
      <c r="T21" s="345"/>
      <c r="U21" s="345"/>
    </row>
    <row r="22" spans="2:21">
      <c r="B22" s="553" t="s">
        <v>413</v>
      </c>
      <c r="C22" s="553"/>
      <c r="D22" s="553"/>
      <c r="E22" s="553"/>
      <c r="F22" s="553"/>
      <c r="G22" s="553"/>
      <c r="H22" s="553"/>
      <c r="I22" s="553"/>
      <c r="J22" s="553"/>
      <c r="O22" s="345"/>
      <c r="P22" s="345"/>
      <c r="Q22" s="345"/>
      <c r="R22" s="345"/>
      <c r="S22" s="345"/>
      <c r="T22" s="345"/>
      <c r="U22" s="345"/>
    </row>
    <row r="23" spans="2:21">
      <c r="B23" s="342"/>
      <c r="J23" s="342"/>
      <c r="K23" s="346"/>
      <c r="O23" s="345"/>
      <c r="P23" s="345"/>
      <c r="Q23" s="345"/>
      <c r="R23" s="345"/>
      <c r="S23" s="345"/>
      <c r="T23" s="347"/>
      <c r="U23" s="345"/>
    </row>
    <row r="24" spans="2:21">
      <c r="B24" s="342"/>
      <c r="J24" s="342"/>
      <c r="K24" s="346"/>
      <c r="O24" s="345"/>
      <c r="P24" s="349"/>
      <c r="Q24" s="349"/>
      <c r="R24" s="349"/>
      <c r="S24" s="349"/>
      <c r="T24" s="349"/>
      <c r="U24" s="345"/>
    </row>
    <row r="25" spans="2:21" ht="31.5">
      <c r="B25" s="348" t="s">
        <v>424</v>
      </c>
      <c r="C25" s="348" t="s">
        <v>425</v>
      </c>
      <c r="D25" s="348" t="s">
        <v>421</v>
      </c>
      <c r="E25" s="348" t="s">
        <v>242</v>
      </c>
      <c r="F25" s="348" t="s">
        <v>241</v>
      </c>
      <c r="G25" s="348" t="s">
        <v>422</v>
      </c>
      <c r="H25" s="348" t="s">
        <v>43</v>
      </c>
      <c r="I25" s="348" t="s">
        <v>423</v>
      </c>
      <c r="J25" s="348" t="s">
        <v>277</v>
      </c>
      <c r="K25" s="353"/>
      <c r="O25" s="345"/>
      <c r="P25" s="349"/>
      <c r="Q25" s="349"/>
      <c r="R25" s="349"/>
      <c r="S25" s="349"/>
      <c r="T25" s="349"/>
      <c r="U25" s="345"/>
    </row>
    <row r="26" spans="2:21">
      <c r="B26" s="350" t="s">
        <v>416</v>
      </c>
      <c r="C26" s="536">
        <v>141038943.88</v>
      </c>
      <c r="D26" s="537">
        <v>176688011.64000002</v>
      </c>
      <c r="E26" s="537">
        <v>167839351.16000003</v>
      </c>
      <c r="F26" s="537">
        <v>440246645.03999996</v>
      </c>
      <c r="G26" s="537">
        <v>321482441.06999999</v>
      </c>
      <c r="H26" s="537">
        <v>328783685.63</v>
      </c>
      <c r="I26" s="537">
        <v>131980227.87</v>
      </c>
      <c r="J26" s="352">
        <f t="shared" ref="J26:J31" si="0">SUM(C26:I26)</f>
        <v>1708059306.29</v>
      </c>
      <c r="K26" s="353"/>
      <c r="O26" s="345"/>
      <c r="P26" s="349"/>
      <c r="Q26" s="349"/>
      <c r="R26" s="349"/>
      <c r="S26" s="349"/>
      <c r="T26" s="349"/>
      <c r="U26" s="345"/>
    </row>
    <row r="27" spans="2:21">
      <c r="B27" s="350" t="s">
        <v>417</v>
      </c>
      <c r="C27" s="536">
        <v>319825374.37</v>
      </c>
      <c r="D27" s="537">
        <v>499659326.55999988</v>
      </c>
      <c r="E27" s="537">
        <v>393600073.86000001</v>
      </c>
      <c r="F27" s="537">
        <v>531388348.85000008</v>
      </c>
      <c r="G27" s="537">
        <v>376380329.34000003</v>
      </c>
      <c r="H27" s="537">
        <v>504747514.44</v>
      </c>
      <c r="I27" s="537">
        <v>196060821.38999999</v>
      </c>
      <c r="J27" s="352">
        <f t="shared" si="0"/>
        <v>2821661788.8099999</v>
      </c>
      <c r="K27" s="353"/>
      <c r="O27" s="345"/>
      <c r="P27" s="349"/>
      <c r="Q27" s="349"/>
      <c r="R27" s="349"/>
      <c r="S27" s="349"/>
      <c r="T27" s="349"/>
      <c r="U27" s="345"/>
    </row>
    <row r="28" spans="2:21">
      <c r="B28" s="354">
        <v>2010</v>
      </c>
      <c r="C28" s="536">
        <v>416011992.67999995</v>
      </c>
      <c r="D28" s="537">
        <v>518078947.40000004</v>
      </c>
      <c r="E28" s="537">
        <v>615815226.54999983</v>
      </c>
      <c r="F28" s="537">
        <v>737890193.0999999</v>
      </c>
      <c r="G28" s="537">
        <v>827591968.73000002</v>
      </c>
      <c r="H28" s="537">
        <v>443780328.36000001</v>
      </c>
      <c r="I28" s="537">
        <v>510276007.17000002</v>
      </c>
      <c r="J28" s="352">
        <f t="shared" si="0"/>
        <v>4069444663.9899998</v>
      </c>
      <c r="K28" s="353"/>
      <c r="O28" s="345"/>
      <c r="P28" s="349"/>
      <c r="Q28" s="349"/>
      <c r="R28" s="349"/>
      <c r="S28" s="349"/>
      <c r="T28" s="349"/>
      <c r="U28" s="345"/>
    </row>
    <row r="29" spans="2:21">
      <c r="B29" s="354">
        <v>2011</v>
      </c>
      <c r="C29" s="352">
        <v>1124827734.03</v>
      </c>
      <c r="D29" s="352">
        <v>776151268.40999985</v>
      </c>
      <c r="E29" s="352">
        <v>869366743.73000002</v>
      </c>
      <c r="F29" s="352">
        <v>869507215.92999995</v>
      </c>
      <c r="G29" s="352">
        <v>1406825781.3400002</v>
      </c>
      <c r="H29" s="352">
        <v>1412256087.9500003</v>
      </c>
      <c r="I29" s="352">
        <v>788187748.41999996</v>
      </c>
      <c r="J29" s="352">
        <f t="shared" si="0"/>
        <v>7247122579.8100014</v>
      </c>
      <c r="K29" s="353"/>
      <c r="O29" s="345"/>
      <c r="P29" s="349"/>
      <c r="Q29" s="349"/>
      <c r="R29" s="349"/>
      <c r="S29" s="349"/>
      <c r="T29" s="349"/>
      <c r="U29" s="345"/>
    </row>
    <row r="30" spans="2:21">
      <c r="B30" s="354">
        <v>2012</v>
      </c>
      <c r="C30" s="352">
        <v>1140068754.6700001</v>
      </c>
      <c r="D30" s="352">
        <v>525257849.71000016</v>
      </c>
      <c r="E30" s="352">
        <v>905401645.29999995</v>
      </c>
      <c r="F30" s="352">
        <v>1005372534.2299999</v>
      </c>
      <c r="G30" s="352">
        <v>1797233970.02</v>
      </c>
      <c r="H30" s="352">
        <v>2491504592.8900003</v>
      </c>
      <c r="I30" s="352">
        <v>638740607.01000011</v>
      </c>
      <c r="J30" s="352">
        <f t="shared" si="0"/>
        <v>8503579953.8300009</v>
      </c>
      <c r="K30" s="353"/>
      <c r="O30" s="345"/>
      <c r="P30" s="349"/>
      <c r="Q30" s="349"/>
      <c r="R30" s="349"/>
      <c r="S30" s="349"/>
      <c r="T30" s="349"/>
      <c r="U30" s="345"/>
    </row>
    <row r="31" spans="2:21">
      <c r="B31" s="354">
        <v>2013</v>
      </c>
      <c r="C31" s="352">
        <v>1414373689.8399999</v>
      </c>
      <c r="D31" s="352">
        <v>789358143.5</v>
      </c>
      <c r="E31" s="352">
        <v>776418374.67000008</v>
      </c>
      <c r="F31" s="352">
        <v>1076799641.1099999</v>
      </c>
      <c r="G31" s="352">
        <v>1807744001.01</v>
      </c>
      <c r="H31" s="352">
        <v>3671179591.8200011</v>
      </c>
      <c r="I31" s="352">
        <v>404548164.94</v>
      </c>
      <c r="J31" s="352">
        <f t="shared" si="0"/>
        <v>9940421606.8900013</v>
      </c>
      <c r="K31" s="353"/>
      <c r="O31" s="345"/>
      <c r="P31" s="355"/>
      <c r="Q31" s="355"/>
      <c r="R31" s="355"/>
      <c r="S31" s="355"/>
      <c r="T31" s="349"/>
      <c r="U31" s="345"/>
    </row>
    <row r="32" spans="2:21">
      <c r="B32" s="354">
        <v>2014</v>
      </c>
      <c r="C32" s="352">
        <v>889223861.02999997</v>
      </c>
      <c r="D32" s="352">
        <v>557214266.26999998</v>
      </c>
      <c r="E32" s="352">
        <v>616284597.49000001</v>
      </c>
      <c r="F32" s="352">
        <v>910292888.02999997</v>
      </c>
      <c r="G32" s="352">
        <v>1461861124.1099999</v>
      </c>
      <c r="H32" s="352">
        <v>4014970529.75</v>
      </c>
      <c r="I32" s="352">
        <v>417363602.83999997</v>
      </c>
      <c r="J32" s="352">
        <f>SUM(C32:I32)</f>
        <v>8867210869.5199986</v>
      </c>
      <c r="K32" s="353"/>
      <c r="O32" s="345"/>
      <c r="P32" s="345"/>
      <c r="Q32" s="345"/>
      <c r="R32" s="345"/>
      <c r="S32" s="345"/>
      <c r="T32" s="345"/>
      <c r="U32" s="345"/>
    </row>
    <row r="33" spans="2:22">
      <c r="B33" s="354" t="s">
        <v>426</v>
      </c>
      <c r="C33" s="352">
        <v>446144457.93999994</v>
      </c>
      <c r="D33" s="352">
        <v>654180731.78000009</v>
      </c>
      <c r="E33" s="352">
        <v>526104407.48000014</v>
      </c>
      <c r="F33" s="352">
        <v>794705358.6099999</v>
      </c>
      <c r="G33" s="352">
        <v>1226746895.8500001</v>
      </c>
      <c r="H33" s="352">
        <v>3593604912.4199996</v>
      </c>
      <c r="I33" s="352">
        <v>375326644.17000002</v>
      </c>
      <c r="J33" s="352">
        <v>7616813408.25</v>
      </c>
      <c r="K33" s="353"/>
      <c r="O33" s="345"/>
      <c r="P33" s="345"/>
      <c r="Q33" s="345"/>
      <c r="R33" s="345"/>
      <c r="S33" s="345"/>
      <c r="T33" s="345"/>
      <c r="U33" s="345"/>
    </row>
    <row r="34" spans="2:22">
      <c r="B34" s="354" t="s">
        <v>427</v>
      </c>
      <c r="C34" s="352">
        <v>234040659.21000001</v>
      </c>
      <c r="D34" s="352">
        <v>386357049.55999994</v>
      </c>
      <c r="E34" s="352">
        <v>373166168.55999994</v>
      </c>
      <c r="F34" s="352">
        <v>933341783.53999996</v>
      </c>
      <c r="G34" s="352">
        <v>1074886960.4899998</v>
      </c>
      <c r="H34" s="352">
        <v>900298552.92999983</v>
      </c>
      <c r="I34" s="352">
        <v>349298041.14999998</v>
      </c>
      <c r="J34" s="352">
        <v>4251389215.4399996</v>
      </c>
      <c r="K34" s="353"/>
    </row>
    <row r="37" spans="2:22">
      <c r="B37" s="554" t="s">
        <v>428</v>
      </c>
      <c r="C37" s="555"/>
      <c r="D37" s="555"/>
      <c r="E37" s="555"/>
      <c r="F37" s="555"/>
      <c r="G37" s="555"/>
      <c r="H37" s="555"/>
      <c r="I37" s="555"/>
      <c r="J37" s="556"/>
      <c r="K37" s="39"/>
      <c r="N37" s="538"/>
      <c r="O37" s="538"/>
      <c r="P37" s="538"/>
      <c r="Q37" s="538"/>
      <c r="R37" s="538"/>
      <c r="S37" s="538"/>
      <c r="T37" s="538"/>
      <c r="U37" s="538"/>
      <c r="V37" s="538"/>
    </row>
    <row r="38" spans="2:22">
      <c r="B38" s="356" t="s">
        <v>429</v>
      </c>
      <c r="C38" s="351">
        <v>70741719.74000001</v>
      </c>
      <c r="D38" s="351">
        <v>32611750.330000002</v>
      </c>
      <c r="E38" s="351">
        <v>25342136.479999997</v>
      </c>
      <c r="F38" s="351">
        <v>64338739.360000007</v>
      </c>
      <c r="G38" s="351">
        <v>53143602.050000004</v>
      </c>
      <c r="H38" s="351">
        <v>29576566.420000002</v>
      </c>
      <c r="I38" s="351">
        <v>19583929.740000002</v>
      </c>
      <c r="J38" s="352">
        <f>SUM(C38:I38)</f>
        <v>295338444.12000006</v>
      </c>
      <c r="K38" s="39"/>
      <c r="N38" s="538"/>
      <c r="O38" s="539"/>
      <c r="P38" s="539"/>
      <c r="Q38" s="539"/>
      <c r="R38" s="539"/>
      <c r="S38" s="539"/>
      <c r="T38" s="539"/>
      <c r="U38" s="539"/>
      <c r="V38" s="538"/>
    </row>
    <row r="39" spans="2:22">
      <c r="B39" s="356" t="s">
        <v>430</v>
      </c>
      <c r="C39" s="351">
        <v>15257222.969999999</v>
      </c>
      <c r="D39" s="351">
        <v>22577830.109999999</v>
      </c>
      <c r="E39" s="351">
        <v>25490993.309999999</v>
      </c>
      <c r="F39" s="351">
        <v>74328611.980000004</v>
      </c>
      <c r="G39" s="351">
        <v>62335400.959999993</v>
      </c>
      <c r="H39" s="351">
        <v>39061713.719999991</v>
      </c>
      <c r="I39" s="351">
        <v>29650427.899999999</v>
      </c>
      <c r="J39" s="352">
        <f>SUM(C39:I39)</f>
        <v>268702200.94999999</v>
      </c>
      <c r="K39" s="39"/>
      <c r="N39" s="538"/>
      <c r="O39" s="377"/>
      <c r="P39" s="377"/>
      <c r="Q39" s="377"/>
      <c r="R39" s="377"/>
      <c r="S39" s="377"/>
      <c r="T39" s="377"/>
      <c r="U39" s="377"/>
      <c r="V39" s="538"/>
    </row>
    <row r="40" spans="2:22">
      <c r="B40" s="356" t="s">
        <v>431</v>
      </c>
      <c r="C40" s="351">
        <v>11318153.510000002</v>
      </c>
      <c r="D40" s="351">
        <v>19303009.699999999</v>
      </c>
      <c r="E40" s="351">
        <v>31146262.450000003</v>
      </c>
      <c r="F40" s="351">
        <v>85224658.100000009</v>
      </c>
      <c r="G40" s="351">
        <v>70560580.520000011</v>
      </c>
      <c r="H40" s="351">
        <v>43881856.020000003</v>
      </c>
      <c r="I40" s="351">
        <v>42602994.520000003</v>
      </c>
      <c r="J40" s="352">
        <f>SUM(C40:I40)</f>
        <v>304037514.82000005</v>
      </c>
      <c r="K40" s="39"/>
      <c r="N40" s="538"/>
      <c r="O40" s="538"/>
      <c r="P40" s="538"/>
      <c r="Q40" s="538"/>
      <c r="R40" s="538"/>
      <c r="S40" s="538"/>
      <c r="T40" s="538"/>
      <c r="U40" s="538"/>
      <c r="V40" s="538"/>
    </row>
    <row r="41" spans="2:22">
      <c r="B41" s="356" t="s">
        <v>432</v>
      </c>
      <c r="C41" s="351">
        <v>14240287.269999998</v>
      </c>
      <c r="D41" s="351">
        <v>24667865.149999999</v>
      </c>
      <c r="E41" s="351">
        <v>32105305.800000004</v>
      </c>
      <c r="F41" s="351">
        <v>75441172.050000012</v>
      </c>
      <c r="G41" s="351">
        <v>88281760.260000005</v>
      </c>
      <c r="H41" s="351">
        <v>38222713.629999995</v>
      </c>
      <c r="I41" s="351">
        <v>38798073.439999998</v>
      </c>
      <c r="J41" s="352">
        <f>SUM(C41:I41)</f>
        <v>311757177.60000002</v>
      </c>
      <c r="K41" s="39"/>
    </row>
    <row r="42" spans="2:22">
      <c r="B42" s="357"/>
      <c r="C42" s="358"/>
      <c r="D42" s="358"/>
      <c r="E42" s="358"/>
      <c r="F42" s="358"/>
      <c r="G42" s="358"/>
      <c r="H42" s="358"/>
      <c r="I42" s="358"/>
      <c r="J42" s="359"/>
      <c r="K42" s="39"/>
    </row>
    <row r="43" spans="2:22">
      <c r="B43" s="360" t="s">
        <v>433</v>
      </c>
      <c r="C43" s="351">
        <f t="shared" ref="C43:J43" si="1">SUM(C38:C41)</f>
        <v>111557383.49000001</v>
      </c>
      <c r="D43" s="351">
        <f t="shared" si="1"/>
        <v>99160455.289999992</v>
      </c>
      <c r="E43" s="351">
        <f t="shared" si="1"/>
        <v>114084698.03999999</v>
      </c>
      <c r="F43" s="351">
        <f t="shared" si="1"/>
        <v>299333181.49000001</v>
      </c>
      <c r="G43" s="351">
        <f t="shared" si="1"/>
        <v>274321343.79000002</v>
      </c>
      <c r="H43" s="351">
        <f t="shared" si="1"/>
        <v>150742849.78999999</v>
      </c>
      <c r="I43" s="351">
        <f t="shared" si="1"/>
        <v>130635425.59999999</v>
      </c>
      <c r="J43" s="351">
        <f t="shared" si="1"/>
        <v>1179835337.4900002</v>
      </c>
      <c r="K43" s="39"/>
    </row>
    <row r="44" spans="2:22">
      <c r="B44" s="360" t="s">
        <v>434</v>
      </c>
      <c r="C44" s="351">
        <v>85099960.74000001</v>
      </c>
      <c r="D44" s="351">
        <v>118097583.68000001</v>
      </c>
      <c r="E44" s="351">
        <v>100413324.75</v>
      </c>
      <c r="F44" s="351">
        <v>263065662.21000004</v>
      </c>
      <c r="G44" s="351">
        <v>273676357.89999998</v>
      </c>
      <c r="H44" s="351">
        <v>379186059.71999997</v>
      </c>
      <c r="I44" s="351">
        <v>112174840.06</v>
      </c>
      <c r="J44" s="352">
        <f>SUM(C44:I44)</f>
        <v>1331713789.0599999</v>
      </c>
      <c r="K44" s="39"/>
    </row>
    <row r="45" spans="2:22">
      <c r="B45" s="361" t="s">
        <v>435</v>
      </c>
      <c r="C45" s="362">
        <f t="shared" ref="C45:J45" si="2">(+C43/C44)-1</f>
        <v>0.31089817809474107</v>
      </c>
      <c r="D45" s="363">
        <f t="shared" si="2"/>
        <v>-0.1603515313345657</v>
      </c>
      <c r="E45" s="362">
        <f t="shared" si="2"/>
        <v>0.13615098717264607</v>
      </c>
      <c r="F45" s="362">
        <f t="shared" si="2"/>
        <v>0.13786489264816448</v>
      </c>
      <c r="G45" s="362">
        <f t="shared" si="2"/>
        <v>2.3567468339216191E-3</v>
      </c>
      <c r="H45" s="364">
        <f t="shared" si="2"/>
        <v>-0.60245677306462131</v>
      </c>
      <c r="I45" s="362">
        <f t="shared" si="2"/>
        <v>0.16456975138209073</v>
      </c>
      <c r="J45" s="364">
        <f t="shared" si="2"/>
        <v>-0.11404736724788611</v>
      </c>
      <c r="K45" s="39"/>
    </row>
    <row r="46" spans="2:22">
      <c r="B46" s="365"/>
      <c r="C46" s="366">
        <f t="shared" ref="C46:J46" si="3">+C43</f>
        <v>111557383.49000001</v>
      </c>
      <c r="D46" s="367">
        <f t="shared" si="3"/>
        <v>99160455.289999992</v>
      </c>
      <c r="E46" s="367">
        <f t="shared" si="3"/>
        <v>114084698.03999999</v>
      </c>
      <c r="F46" s="367">
        <f t="shared" si="3"/>
        <v>299333181.49000001</v>
      </c>
      <c r="G46" s="367">
        <f t="shared" si="3"/>
        <v>274321343.79000002</v>
      </c>
      <c r="H46" s="367">
        <f t="shared" si="3"/>
        <v>150742849.78999999</v>
      </c>
      <c r="I46" s="367">
        <f t="shared" si="3"/>
        <v>130635425.59999999</v>
      </c>
      <c r="J46" s="367">
        <f t="shared" si="3"/>
        <v>1179835337.4900002</v>
      </c>
      <c r="K46" s="368"/>
    </row>
    <row r="47" spans="2:22">
      <c r="B47" s="369" t="s">
        <v>436</v>
      </c>
      <c r="C47" s="368"/>
      <c r="D47" s="368"/>
      <c r="E47" s="370"/>
      <c r="F47" s="368"/>
      <c r="G47" s="368"/>
      <c r="H47" s="371"/>
      <c r="I47" s="371"/>
      <c r="J47" s="372"/>
      <c r="K47" s="373"/>
    </row>
    <row r="48" spans="2:22">
      <c r="B48" s="374" t="s">
        <v>437</v>
      </c>
      <c r="C48" s="375"/>
      <c r="D48" s="375"/>
      <c r="E48" s="375"/>
      <c r="F48" s="375"/>
    </row>
    <row r="49" spans="2:29">
      <c r="B49" s="374" t="s">
        <v>438</v>
      </c>
      <c r="C49" s="376"/>
      <c r="D49" s="376"/>
      <c r="E49" s="376"/>
      <c r="F49" s="376"/>
    </row>
    <row r="50" spans="2:29">
      <c r="B50" s="374"/>
      <c r="C50" s="377"/>
      <c r="D50" s="377"/>
      <c r="E50" s="377"/>
      <c r="F50" s="377"/>
    </row>
    <row r="51" spans="2:29">
      <c r="B51" s="378" t="s">
        <v>439</v>
      </c>
      <c r="C51" s="379"/>
      <c r="D51" s="379"/>
      <c r="E51" s="380"/>
      <c r="F51" s="380"/>
    </row>
    <row r="52" spans="2:29">
      <c r="B52" s="381"/>
      <c r="C52" s="379"/>
      <c r="D52" s="379"/>
      <c r="E52" s="380"/>
      <c r="F52" s="380"/>
    </row>
    <row r="53" spans="2:29">
      <c r="B53" s="381" t="s">
        <v>440</v>
      </c>
      <c r="C53" s="382"/>
      <c r="D53" s="382"/>
      <c r="E53" s="342"/>
      <c r="F53" s="342"/>
    </row>
    <row r="54" spans="2:29">
      <c r="C54" s="382"/>
      <c r="D54" s="382"/>
      <c r="E54" s="342"/>
      <c r="F54" s="342"/>
    </row>
    <row r="55" spans="2:29">
      <c r="B55" s="381" t="s">
        <v>441</v>
      </c>
      <c r="C55" s="382"/>
      <c r="D55" s="382"/>
      <c r="E55" s="342"/>
      <c r="F55" s="342"/>
    </row>
    <row r="56" spans="2:29">
      <c r="B56" s="383" t="s">
        <v>442</v>
      </c>
      <c r="C56" s="384"/>
      <c r="D56" s="384"/>
      <c r="E56" s="384"/>
      <c r="F56" s="384"/>
    </row>
    <row r="57" spans="2:29"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</row>
    <row r="58" spans="2:29"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</row>
    <row r="59" spans="2:29">
      <c r="O59" s="385" t="s">
        <v>414</v>
      </c>
      <c r="P59" s="385" t="s">
        <v>443</v>
      </c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</row>
    <row r="60" spans="2:29">
      <c r="O60" s="385" t="s">
        <v>415</v>
      </c>
      <c r="P60" s="385" t="s">
        <v>444</v>
      </c>
      <c r="Q60" s="385" t="s">
        <v>445</v>
      </c>
      <c r="R60" s="385" t="s">
        <v>446</v>
      </c>
      <c r="S60" s="385" t="s">
        <v>447</v>
      </c>
      <c r="T60" s="385" t="s">
        <v>448</v>
      </c>
      <c r="U60" s="385" t="s">
        <v>449</v>
      </c>
      <c r="V60" s="385" t="s">
        <v>450</v>
      </c>
      <c r="W60" s="385" t="s">
        <v>451</v>
      </c>
      <c r="X60" s="385" t="s">
        <v>452</v>
      </c>
      <c r="Y60" s="385" t="s">
        <v>453</v>
      </c>
      <c r="Z60" s="385" t="s">
        <v>454</v>
      </c>
      <c r="AA60" s="385" t="s">
        <v>455</v>
      </c>
      <c r="AB60" s="386" t="s">
        <v>419</v>
      </c>
      <c r="AC60" s="385"/>
    </row>
    <row r="61" spans="2:29">
      <c r="O61" s="385" t="s">
        <v>420</v>
      </c>
      <c r="P61" s="387">
        <v>30148696.080000002</v>
      </c>
      <c r="Q61" s="387">
        <v>48887459.559999995</v>
      </c>
      <c r="R61" s="387">
        <v>35410387.829999998</v>
      </c>
      <c r="S61" s="387">
        <v>38692616.730000004</v>
      </c>
      <c r="T61" s="387">
        <v>10611430.85</v>
      </c>
      <c r="U61" s="387">
        <v>30901880.18</v>
      </c>
      <c r="V61" s="387">
        <v>17854946.669999998</v>
      </c>
      <c r="W61" s="387">
        <v>25731703.039999995</v>
      </c>
      <c r="X61" s="387">
        <v>70741719.74000001</v>
      </c>
      <c r="Y61" s="387">
        <v>15257222.969999999</v>
      </c>
      <c r="Z61" s="387">
        <v>11318153.510000002</v>
      </c>
      <c r="AA61" s="387">
        <v>14240287.269999998</v>
      </c>
      <c r="AB61" s="387">
        <v>349796504.42999995</v>
      </c>
      <c r="AC61" s="385"/>
    </row>
    <row r="62" spans="2:29">
      <c r="O62" s="385" t="s">
        <v>421</v>
      </c>
      <c r="P62" s="387">
        <v>44724789.240000002</v>
      </c>
      <c r="Q62" s="387">
        <v>72580239.899999976</v>
      </c>
      <c r="R62" s="387">
        <v>53843070.329999998</v>
      </c>
      <c r="S62" s="387">
        <v>20227249.369999997</v>
      </c>
      <c r="T62" s="387">
        <v>31104851.29000001</v>
      </c>
      <c r="U62" s="387">
        <v>25562893.039999999</v>
      </c>
      <c r="V62" s="387">
        <v>26368802.139999997</v>
      </c>
      <c r="W62" s="387">
        <v>35061037.210000001</v>
      </c>
      <c r="X62" s="387">
        <v>32611750.330000002</v>
      </c>
      <c r="Y62" s="387">
        <v>22577830.109999999</v>
      </c>
      <c r="Z62" s="387">
        <v>19303009.699999999</v>
      </c>
      <c r="AA62" s="387">
        <v>24667865.149999999</v>
      </c>
      <c r="AB62" s="387">
        <v>408633387.80999994</v>
      </c>
      <c r="AC62" s="385"/>
    </row>
    <row r="63" spans="2:29">
      <c r="O63" s="385" t="s">
        <v>242</v>
      </c>
      <c r="P63" s="387">
        <v>35900884.130000003</v>
      </c>
      <c r="Q63" s="387">
        <v>30887999.390000001</v>
      </c>
      <c r="R63" s="387">
        <v>54350130.710000023</v>
      </c>
      <c r="S63" s="387">
        <v>35120277.43</v>
      </c>
      <c r="T63" s="387">
        <v>19444566.740000002</v>
      </c>
      <c r="U63" s="387">
        <v>22275541.900000002</v>
      </c>
      <c r="V63" s="387">
        <v>27770798.340000011</v>
      </c>
      <c r="W63" s="387">
        <v>30922822.769999992</v>
      </c>
      <c r="X63" s="387">
        <v>25342136.479999997</v>
      </c>
      <c r="Y63" s="387">
        <v>25490993.309999999</v>
      </c>
      <c r="Z63" s="387">
        <v>31146262.450000003</v>
      </c>
      <c r="AA63" s="387">
        <v>32105305.800000004</v>
      </c>
      <c r="AB63" s="387">
        <v>370757719.45000005</v>
      </c>
      <c r="AC63" s="385"/>
    </row>
    <row r="64" spans="2:29">
      <c r="O64" s="385" t="s">
        <v>241</v>
      </c>
      <c r="P64" s="387">
        <v>62669041.360000007</v>
      </c>
      <c r="Q64" s="387">
        <v>59664914.200000003</v>
      </c>
      <c r="R64" s="387">
        <v>63712685.719999999</v>
      </c>
      <c r="S64" s="387">
        <v>63168453.909999996</v>
      </c>
      <c r="T64" s="387">
        <v>54527953.649999999</v>
      </c>
      <c r="U64" s="387">
        <v>47617303.040000007</v>
      </c>
      <c r="V64" s="387">
        <v>97244638.890000015</v>
      </c>
      <c r="W64" s="387">
        <v>63649091.629999995</v>
      </c>
      <c r="X64" s="387">
        <v>64338739.360000007</v>
      </c>
      <c r="Y64" s="387">
        <v>74328611.980000004</v>
      </c>
      <c r="Z64" s="387">
        <v>85224658.100000009</v>
      </c>
      <c r="AA64" s="387">
        <v>75441172.050000012</v>
      </c>
      <c r="AB64" s="387">
        <v>811587263.8900001</v>
      </c>
      <c r="AC64" s="385"/>
    </row>
    <row r="65" spans="15:29">
      <c r="O65" s="385" t="s">
        <v>422</v>
      </c>
      <c r="P65" s="387">
        <v>48421123.5</v>
      </c>
      <c r="Q65" s="387">
        <v>51947129.820000008</v>
      </c>
      <c r="R65" s="387">
        <v>94466062.459999993</v>
      </c>
      <c r="S65" s="387">
        <v>123231218.00000001</v>
      </c>
      <c r="T65" s="387">
        <v>49787020.190000005</v>
      </c>
      <c r="U65" s="387">
        <v>77914265.829999983</v>
      </c>
      <c r="V65" s="387">
        <v>64769197.910000004</v>
      </c>
      <c r="W65" s="387">
        <v>81205873.969999999</v>
      </c>
      <c r="X65" s="387">
        <v>53143602.050000004</v>
      </c>
      <c r="Y65" s="387">
        <v>62335400.959999993</v>
      </c>
      <c r="Z65" s="387">
        <v>70560580.520000011</v>
      </c>
      <c r="AA65" s="387">
        <v>88281760.260000005</v>
      </c>
      <c r="AB65" s="387">
        <v>866063235.47000003</v>
      </c>
      <c r="AC65" s="385"/>
    </row>
    <row r="66" spans="15:29">
      <c r="O66" s="385" t="s">
        <v>43</v>
      </c>
      <c r="P66" s="387">
        <v>274748845.59999996</v>
      </c>
      <c r="Q66" s="387">
        <v>333951704.08999991</v>
      </c>
      <c r="R66" s="387">
        <v>329849339.95999986</v>
      </c>
      <c r="S66" s="387">
        <v>317802582.3900001</v>
      </c>
      <c r="T66" s="387">
        <v>147490850.06999999</v>
      </c>
      <c r="U66" s="387">
        <v>85453364.859999999</v>
      </c>
      <c r="V66" s="387">
        <v>101403329.91</v>
      </c>
      <c r="W66" s="387">
        <v>44838514.879999995</v>
      </c>
      <c r="X66" s="387">
        <v>29576566.420000002</v>
      </c>
      <c r="Y66" s="387">
        <v>39061713.719999991</v>
      </c>
      <c r="Z66" s="387">
        <v>43881856.020000003</v>
      </c>
      <c r="AA66" s="387">
        <v>38222713.629999995</v>
      </c>
      <c r="AB66" s="387">
        <v>1786281381.5499997</v>
      </c>
      <c r="AC66" s="385"/>
    </row>
    <row r="67" spans="15:29">
      <c r="O67" s="385" t="s">
        <v>423</v>
      </c>
      <c r="P67" s="387">
        <v>15920987.950000001</v>
      </c>
      <c r="Q67" s="387">
        <v>20964816.590000004</v>
      </c>
      <c r="R67" s="387">
        <v>51465542.539999984</v>
      </c>
      <c r="S67" s="387">
        <v>20861484.350000001</v>
      </c>
      <c r="T67" s="387">
        <v>18450765.100000005</v>
      </c>
      <c r="U67" s="387">
        <v>37785696.590000004</v>
      </c>
      <c r="V67" s="387">
        <v>26552343.760000005</v>
      </c>
      <c r="W67" s="387">
        <v>29382534.609999999</v>
      </c>
      <c r="X67" s="387">
        <v>19583929.740000002</v>
      </c>
      <c r="Y67" s="387">
        <v>29650427.899999999</v>
      </c>
      <c r="Z67" s="387">
        <v>42602994.520000003</v>
      </c>
      <c r="AA67" s="387">
        <v>38798073.439999998</v>
      </c>
      <c r="AB67" s="387">
        <v>352019597.08999997</v>
      </c>
      <c r="AC67" s="385"/>
    </row>
    <row r="68" spans="15:29">
      <c r="O68" s="385" t="s">
        <v>419</v>
      </c>
      <c r="P68" s="388">
        <v>512534367.86000001</v>
      </c>
      <c r="Q68" s="388">
        <v>618884263.54999971</v>
      </c>
      <c r="R68" s="388">
        <v>683097219.55000019</v>
      </c>
      <c r="S68" s="388">
        <v>619103882.17999983</v>
      </c>
      <c r="T68" s="388">
        <v>331417437.8900001</v>
      </c>
      <c r="U68" s="388">
        <v>327510945.44000024</v>
      </c>
      <c r="V68" s="388">
        <v>361964057.61999995</v>
      </c>
      <c r="W68" s="388">
        <v>310791578.1099999</v>
      </c>
      <c r="X68" s="388">
        <v>295338444.11999995</v>
      </c>
      <c r="Y68" s="388">
        <v>268702200.95000005</v>
      </c>
      <c r="Z68" s="388">
        <v>304037514.81999993</v>
      </c>
      <c r="AA68" s="388">
        <v>311757177.5999999</v>
      </c>
      <c r="AB68" s="387">
        <v>4945139089.6899986</v>
      </c>
      <c r="AC68" s="385"/>
    </row>
    <row r="69" spans="15:29"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</row>
    <row r="70" spans="15:29"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</row>
    <row r="74" spans="15:29">
      <c r="O74" s="389"/>
      <c r="P74" s="389"/>
      <c r="Q74" s="389"/>
      <c r="R74" s="389"/>
      <c r="S74" s="389"/>
      <c r="T74" s="389"/>
      <c r="U74" s="389"/>
    </row>
    <row r="75" spans="15:29">
      <c r="O75" s="389"/>
      <c r="P75" s="389"/>
      <c r="Q75" s="389"/>
      <c r="R75" s="389"/>
      <c r="S75" s="389"/>
      <c r="T75" s="389"/>
      <c r="U75" s="389"/>
    </row>
    <row r="76" spans="15:29">
      <c r="O76" s="390"/>
      <c r="P76" s="390"/>
      <c r="Q76" s="390"/>
      <c r="R76" s="390"/>
      <c r="S76" s="390"/>
      <c r="T76" s="390"/>
      <c r="U76" s="389"/>
    </row>
    <row r="77" spans="15:29">
      <c r="O77" s="390"/>
      <c r="P77" s="557" t="s">
        <v>456</v>
      </c>
      <c r="Q77" s="557"/>
      <c r="R77" s="557"/>
      <c r="S77" s="390"/>
      <c r="T77" s="390"/>
      <c r="U77" s="389"/>
    </row>
    <row r="78" spans="15:29">
      <c r="O78" s="391" t="s">
        <v>415</v>
      </c>
      <c r="P78" s="390">
        <v>2015</v>
      </c>
      <c r="Q78" s="390">
        <v>2016</v>
      </c>
      <c r="R78" s="390">
        <v>2017</v>
      </c>
      <c r="S78" s="391" t="s">
        <v>113</v>
      </c>
      <c r="T78" s="390"/>
      <c r="U78" s="389"/>
    </row>
    <row r="79" spans="15:29">
      <c r="O79" s="346" t="s">
        <v>457</v>
      </c>
      <c r="P79" s="346">
        <f>SUM(P61:S61)</f>
        <v>153139160.19999999</v>
      </c>
      <c r="Q79" s="346">
        <f>SUM(T61:W61)</f>
        <v>85099960.739999995</v>
      </c>
      <c r="R79" s="346">
        <f>SUM(X61:AA61)</f>
        <v>111557383.49000001</v>
      </c>
      <c r="S79" s="346">
        <f>SUM(P79:R79)</f>
        <v>349796504.43000001</v>
      </c>
      <c r="T79" s="390"/>
      <c r="U79" s="389"/>
    </row>
    <row r="80" spans="15:29">
      <c r="O80" s="346" t="s">
        <v>458</v>
      </c>
      <c r="P80" s="346">
        <f t="shared" ref="P80:P85" si="4">SUM(P62:S62)</f>
        <v>191375348.83999997</v>
      </c>
      <c r="Q80" s="346">
        <f t="shared" ref="Q80:Q85" si="5">SUM(T62:W62)</f>
        <v>118097583.68000001</v>
      </c>
      <c r="R80" s="346">
        <f t="shared" ref="R80:R85" si="6">SUM(X62:AA62)</f>
        <v>99160455.289999992</v>
      </c>
      <c r="S80" s="346">
        <f t="shared" ref="S80:S85" si="7">SUM(P80:R80)</f>
        <v>408633387.80999994</v>
      </c>
      <c r="T80" s="390"/>
      <c r="U80" s="389"/>
    </row>
    <row r="81" spans="15:21">
      <c r="O81" s="346" t="s">
        <v>242</v>
      </c>
      <c r="P81" s="346">
        <f t="shared" si="4"/>
        <v>156259291.66000003</v>
      </c>
      <c r="Q81" s="346">
        <f t="shared" si="5"/>
        <v>100413729.75000001</v>
      </c>
      <c r="R81" s="346">
        <f t="shared" si="6"/>
        <v>114084698.03999999</v>
      </c>
      <c r="S81" s="346">
        <f t="shared" si="7"/>
        <v>370757719.45000005</v>
      </c>
      <c r="T81" s="390"/>
      <c r="U81" s="389"/>
    </row>
    <row r="82" spans="15:21">
      <c r="O82" s="346" t="s">
        <v>241</v>
      </c>
      <c r="P82" s="346">
        <f t="shared" si="4"/>
        <v>249215095.19</v>
      </c>
      <c r="Q82" s="346">
        <f t="shared" si="5"/>
        <v>263038987.21000001</v>
      </c>
      <c r="R82" s="346">
        <f t="shared" si="6"/>
        <v>299333181.49000001</v>
      </c>
      <c r="S82" s="346">
        <f t="shared" si="7"/>
        <v>811587263.88999999</v>
      </c>
      <c r="T82" s="390"/>
      <c r="U82" s="389"/>
    </row>
    <row r="83" spans="15:21">
      <c r="O83" s="346" t="s">
        <v>422</v>
      </c>
      <c r="P83" s="346">
        <f t="shared" si="4"/>
        <v>318065533.78000003</v>
      </c>
      <c r="Q83" s="346">
        <f t="shared" si="5"/>
        <v>273676357.89999998</v>
      </c>
      <c r="R83" s="346">
        <f t="shared" si="6"/>
        <v>274321343.79000002</v>
      </c>
      <c r="S83" s="346">
        <f t="shared" si="7"/>
        <v>866063235.47000003</v>
      </c>
      <c r="T83" s="390"/>
      <c r="U83" s="389"/>
    </row>
    <row r="84" spans="15:21">
      <c r="O84" s="346" t="s">
        <v>43</v>
      </c>
      <c r="P84" s="346">
        <f t="shared" si="4"/>
        <v>1256352472.0399997</v>
      </c>
      <c r="Q84" s="346">
        <f t="shared" si="5"/>
        <v>379186059.72000003</v>
      </c>
      <c r="R84" s="346">
        <f t="shared" si="6"/>
        <v>150742849.78999999</v>
      </c>
      <c r="S84" s="346">
        <f t="shared" si="7"/>
        <v>1786281381.5499997</v>
      </c>
      <c r="T84" s="390"/>
      <c r="U84" s="389"/>
    </row>
    <row r="85" spans="15:21">
      <c r="O85" s="346" t="s">
        <v>423</v>
      </c>
      <c r="P85" s="346">
        <f t="shared" si="4"/>
        <v>109212831.42999998</v>
      </c>
      <c r="Q85" s="346">
        <f t="shared" si="5"/>
        <v>112171340.06000002</v>
      </c>
      <c r="R85" s="346">
        <f t="shared" si="6"/>
        <v>130635425.59999999</v>
      </c>
      <c r="S85" s="346">
        <f t="shared" si="7"/>
        <v>352019597.09000003</v>
      </c>
      <c r="T85" s="390"/>
      <c r="U85" s="389"/>
    </row>
    <row r="86" spans="15:21">
      <c r="O86" s="346" t="s">
        <v>277</v>
      </c>
      <c r="P86" s="346">
        <f>SUM(P79:P85)</f>
        <v>2433619733.1399999</v>
      </c>
      <c r="Q86" s="346">
        <f>SUM(Q79:Q85)</f>
        <v>1331684019.0599999</v>
      </c>
      <c r="R86" s="346">
        <f>SUM(R79:R85)</f>
        <v>1179835337.4899998</v>
      </c>
      <c r="S86" s="346"/>
      <c r="T86" s="390"/>
      <c r="U86" s="389"/>
    </row>
    <row r="87" spans="15:21">
      <c r="O87" s="390"/>
      <c r="P87" s="390"/>
      <c r="Q87" s="390"/>
      <c r="R87" s="390"/>
      <c r="S87" s="390"/>
      <c r="T87" s="390"/>
      <c r="U87" s="389"/>
    </row>
    <row r="88" spans="15:21">
      <c r="O88" s="390"/>
      <c r="P88" s="550" t="s">
        <v>459</v>
      </c>
      <c r="Q88" s="550"/>
      <c r="R88" s="550"/>
      <c r="S88" s="390"/>
      <c r="T88" s="390"/>
      <c r="U88" s="389"/>
    </row>
    <row r="89" spans="15:21">
      <c r="O89" s="390"/>
      <c r="P89" s="551" t="s">
        <v>456</v>
      </c>
      <c r="Q89" s="551"/>
      <c r="R89" s="551"/>
      <c r="S89" s="390"/>
      <c r="T89" s="390"/>
      <c r="U89" s="389"/>
    </row>
    <row r="90" spans="15:21">
      <c r="O90" s="391"/>
      <c r="P90" s="390">
        <v>2015</v>
      </c>
      <c r="Q90" s="390">
        <v>2016</v>
      </c>
      <c r="R90" s="390">
        <v>2017</v>
      </c>
      <c r="S90" s="391" t="s">
        <v>113</v>
      </c>
      <c r="T90" s="390"/>
      <c r="U90" s="389"/>
    </row>
    <row r="91" spans="15:21">
      <c r="O91" s="346" t="s">
        <v>457</v>
      </c>
      <c r="P91" s="346">
        <v>153</v>
      </c>
      <c r="Q91" s="346">
        <v>85</v>
      </c>
      <c r="R91" s="346">
        <v>111</v>
      </c>
      <c r="S91" s="346">
        <f>SUM(P91:R91)</f>
        <v>349</v>
      </c>
      <c r="T91" s="390"/>
      <c r="U91" s="389"/>
    </row>
    <row r="92" spans="15:21">
      <c r="O92" s="346" t="s">
        <v>458</v>
      </c>
      <c r="P92" s="346">
        <v>191</v>
      </c>
      <c r="Q92" s="346">
        <v>118</v>
      </c>
      <c r="R92" s="346">
        <v>99</v>
      </c>
      <c r="S92" s="346">
        <f t="shared" ref="S92:S97" si="8">SUM(P92:R92)</f>
        <v>408</v>
      </c>
      <c r="T92" s="390"/>
      <c r="U92" s="389"/>
    </row>
    <row r="93" spans="15:21">
      <c r="O93" s="346" t="s">
        <v>242</v>
      </c>
      <c r="P93" s="346">
        <v>156</v>
      </c>
      <c r="Q93" s="346">
        <v>100</v>
      </c>
      <c r="R93" s="346">
        <v>114</v>
      </c>
      <c r="S93" s="346">
        <f t="shared" si="8"/>
        <v>370</v>
      </c>
      <c r="T93" s="390"/>
      <c r="U93" s="389"/>
    </row>
    <row r="94" spans="15:21">
      <c r="O94" s="346" t="s">
        <v>241</v>
      </c>
      <c r="P94" s="346">
        <v>249</v>
      </c>
      <c r="Q94" s="346">
        <v>263</v>
      </c>
      <c r="R94" s="346">
        <v>299</v>
      </c>
      <c r="S94" s="346">
        <f t="shared" si="8"/>
        <v>811</v>
      </c>
      <c r="T94" s="390"/>
      <c r="U94" s="389"/>
    </row>
    <row r="95" spans="15:21">
      <c r="O95" s="346" t="s">
        <v>422</v>
      </c>
      <c r="P95" s="346">
        <v>318</v>
      </c>
      <c r="Q95" s="346">
        <v>273</v>
      </c>
      <c r="R95" s="346">
        <v>274</v>
      </c>
      <c r="S95" s="346">
        <f t="shared" si="8"/>
        <v>865</v>
      </c>
      <c r="T95" s="390"/>
      <c r="U95" s="389"/>
    </row>
    <row r="96" spans="15:21">
      <c r="O96" s="346" t="s">
        <v>43</v>
      </c>
      <c r="P96" s="346">
        <v>1256</v>
      </c>
      <c r="Q96" s="346">
        <v>379</v>
      </c>
      <c r="R96" s="346">
        <v>150</v>
      </c>
      <c r="S96" s="346">
        <f t="shared" si="8"/>
        <v>1785</v>
      </c>
      <c r="T96" s="390"/>
      <c r="U96" s="389"/>
    </row>
    <row r="97" spans="2:21">
      <c r="O97" s="346" t="s">
        <v>423</v>
      </c>
      <c r="P97" s="346">
        <v>109</v>
      </c>
      <c r="Q97" s="346">
        <v>112</v>
      </c>
      <c r="R97" s="346">
        <v>130</v>
      </c>
      <c r="S97" s="346">
        <f t="shared" si="8"/>
        <v>351</v>
      </c>
      <c r="T97" s="390"/>
      <c r="U97" s="389"/>
    </row>
    <row r="98" spans="2:21">
      <c r="O98" s="346" t="s">
        <v>277</v>
      </c>
      <c r="P98" s="346">
        <f>SUM(P91:P97)</f>
        <v>2432</v>
      </c>
      <c r="Q98" s="346">
        <f>SUM(Q91:Q97)</f>
        <v>1330</v>
      </c>
      <c r="R98" s="346">
        <f>SUM(R91:R97)</f>
        <v>1177</v>
      </c>
      <c r="S98" s="346"/>
      <c r="T98" s="390"/>
      <c r="U98" s="389"/>
    </row>
    <row r="99" spans="2:21">
      <c r="O99" s="390"/>
      <c r="P99" s="390"/>
      <c r="Q99" s="390"/>
      <c r="R99" s="390"/>
      <c r="S99" s="390"/>
      <c r="T99" s="390"/>
      <c r="U99" s="389"/>
    </row>
    <row r="100" spans="2:21">
      <c r="O100" s="390"/>
      <c r="P100" s="390"/>
      <c r="Q100" s="390"/>
      <c r="R100" s="390"/>
      <c r="S100" s="390"/>
      <c r="T100" s="390"/>
      <c r="U100" s="389"/>
    </row>
    <row r="101" spans="2:21">
      <c r="O101" s="390"/>
      <c r="P101" s="390"/>
      <c r="Q101" s="390"/>
      <c r="R101" s="390"/>
      <c r="S101" s="390"/>
      <c r="T101" s="390"/>
      <c r="U101" s="389"/>
    </row>
    <row r="112" spans="2:21">
      <c r="B112" s="369" t="s">
        <v>436</v>
      </c>
    </row>
    <row r="113" spans="2:2">
      <c r="B113" s="374" t="s">
        <v>437</v>
      </c>
    </row>
    <row r="114" spans="2:2">
      <c r="B114" s="374" t="s">
        <v>438</v>
      </c>
    </row>
    <row r="115" spans="2:2">
      <c r="B115" s="374"/>
    </row>
    <row r="116" spans="2:2">
      <c r="B116" s="378" t="s">
        <v>439</v>
      </c>
    </row>
    <row r="117" spans="2:2">
      <c r="B117" s="381"/>
    </row>
    <row r="118" spans="2:2">
      <c r="B118" s="381" t="s">
        <v>440</v>
      </c>
    </row>
    <row r="120" spans="2:2">
      <c r="B120" s="381" t="s">
        <v>441</v>
      </c>
    </row>
    <row r="121" spans="2:2">
      <c r="B121" s="383" t="s">
        <v>442</v>
      </c>
    </row>
    <row r="122" spans="2:2">
      <c r="B122" s="342"/>
    </row>
  </sheetData>
  <mergeCells count="8">
    <mergeCell ref="P88:R88"/>
    <mergeCell ref="P89:R89"/>
    <mergeCell ref="B3:J3"/>
    <mergeCell ref="B4:J4"/>
    <mergeCell ref="B21:J21"/>
    <mergeCell ref="B22:J22"/>
    <mergeCell ref="B37:J37"/>
    <mergeCell ref="P77:R7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3:H70"/>
  <sheetViews>
    <sheetView topLeftCell="A34" workbookViewId="0">
      <selection activeCell="G8" sqref="C8:G59"/>
    </sheetView>
  </sheetViews>
  <sheetFormatPr baseColWidth="10" defaultRowHeight="15"/>
  <cols>
    <col min="1" max="3" width="11.42578125" style="291"/>
    <col min="4" max="4" width="55.7109375" style="291" bestFit="1" customWidth="1"/>
    <col min="5" max="5" width="12.7109375" style="291" bestFit="1" customWidth="1"/>
    <col min="6" max="6" width="13.28515625" style="291" bestFit="1" customWidth="1"/>
    <col min="7" max="259" width="11.42578125" style="291"/>
    <col min="260" max="260" width="55.7109375" style="291" bestFit="1" customWidth="1"/>
    <col min="261" max="261" width="12.7109375" style="291" bestFit="1" customWidth="1"/>
    <col min="262" max="262" width="13.28515625" style="291" bestFit="1" customWidth="1"/>
    <col min="263" max="515" width="11.42578125" style="291"/>
    <col min="516" max="516" width="55.7109375" style="291" bestFit="1" customWidth="1"/>
    <col min="517" max="517" width="12.7109375" style="291" bestFit="1" customWidth="1"/>
    <col min="518" max="518" width="13.28515625" style="291" bestFit="1" customWidth="1"/>
    <col min="519" max="771" width="11.42578125" style="291"/>
    <col min="772" max="772" width="55.7109375" style="291" bestFit="1" customWidth="1"/>
    <col min="773" max="773" width="12.7109375" style="291" bestFit="1" customWidth="1"/>
    <col min="774" max="774" width="13.28515625" style="291" bestFit="1" customWidth="1"/>
    <col min="775" max="1027" width="11.42578125" style="291"/>
    <col min="1028" max="1028" width="55.7109375" style="291" bestFit="1" customWidth="1"/>
    <col min="1029" max="1029" width="12.7109375" style="291" bestFit="1" customWidth="1"/>
    <col min="1030" max="1030" width="13.28515625" style="291" bestFit="1" customWidth="1"/>
    <col min="1031" max="1283" width="11.42578125" style="291"/>
    <col min="1284" max="1284" width="55.7109375" style="291" bestFit="1" customWidth="1"/>
    <col min="1285" max="1285" width="12.7109375" style="291" bestFit="1" customWidth="1"/>
    <col min="1286" max="1286" width="13.28515625" style="291" bestFit="1" customWidth="1"/>
    <col min="1287" max="1539" width="11.42578125" style="291"/>
    <col min="1540" max="1540" width="55.7109375" style="291" bestFit="1" customWidth="1"/>
    <col min="1541" max="1541" width="12.7109375" style="291" bestFit="1" customWidth="1"/>
    <col min="1542" max="1542" width="13.28515625" style="291" bestFit="1" customWidth="1"/>
    <col min="1543" max="1795" width="11.42578125" style="291"/>
    <col min="1796" max="1796" width="55.7109375" style="291" bestFit="1" customWidth="1"/>
    <col min="1797" max="1797" width="12.7109375" style="291" bestFit="1" customWidth="1"/>
    <col min="1798" max="1798" width="13.28515625" style="291" bestFit="1" customWidth="1"/>
    <col min="1799" max="2051" width="11.42578125" style="291"/>
    <col min="2052" max="2052" width="55.7109375" style="291" bestFit="1" customWidth="1"/>
    <col min="2053" max="2053" width="12.7109375" style="291" bestFit="1" customWidth="1"/>
    <col min="2054" max="2054" width="13.28515625" style="291" bestFit="1" customWidth="1"/>
    <col min="2055" max="2307" width="11.42578125" style="291"/>
    <col min="2308" max="2308" width="55.7109375" style="291" bestFit="1" customWidth="1"/>
    <col min="2309" max="2309" width="12.7109375" style="291" bestFit="1" customWidth="1"/>
    <col min="2310" max="2310" width="13.28515625" style="291" bestFit="1" customWidth="1"/>
    <col min="2311" max="2563" width="11.42578125" style="291"/>
    <col min="2564" max="2564" width="55.7109375" style="291" bestFit="1" customWidth="1"/>
    <col min="2565" max="2565" width="12.7109375" style="291" bestFit="1" customWidth="1"/>
    <col min="2566" max="2566" width="13.28515625" style="291" bestFit="1" customWidth="1"/>
    <col min="2567" max="2819" width="11.42578125" style="291"/>
    <col min="2820" max="2820" width="55.7109375" style="291" bestFit="1" customWidth="1"/>
    <col min="2821" max="2821" width="12.7109375" style="291" bestFit="1" customWidth="1"/>
    <col min="2822" max="2822" width="13.28515625" style="291" bestFit="1" customWidth="1"/>
    <col min="2823" max="3075" width="11.42578125" style="291"/>
    <col min="3076" max="3076" width="55.7109375" style="291" bestFit="1" customWidth="1"/>
    <col min="3077" max="3077" width="12.7109375" style="291" bestFit="1" customWidth="1"/>
    <col min="3078" max="3078" width="13.28515625" style="291" bestFit="1" customWidth="1"/>
    <col min="3079" max="3331" width="11.42578125" style="291"/>
    <col min="3332" max="3332" width="55.7109375" style="291" bestFit="1" customWidth="1"/>
    <col min="3333" max="3333" width="12.7109375" style="291" bestFit="1" customWidth="1"/>
    <col min="3334" max="3334" width="13.28515625" style="291" bestFit="1" customWidth="1"/>
    <col min="3335" max="3587" width="11.42578125" style="291"/>
    <col min="3588" max="3588" width="55.7109375" style="291" bestFit="1" customWidth="1"/>
    <col min="3589" max="3589" width="12.7109375" style="291" bestFit="1" customWidth="1"/>
    <col min="3590" max="3590" width="13.28515625" style="291" bestFit="1" customWidth="1"/>
    <col min="3591" max="3843" width="11.42578125" style="291"/>
    <col min="3844" max="3844" width="55.7109375" style="291" bestFit="1" customWidth="1"/>
    <col min="3845" max="3845" width="12.7109375" style="291" bestFit="1" customWidth="1"/>
    <col min="3846" max="3846" width="13.28515625" style="291" bestFit="1" customWidth="1"/>
    <col min="3847" max="4099" width="11.42578125" style="291"/>
    <col min="4100" max="4100" width="55.7109375" style="291" bestFit="1" customWidth="1"/>
    <col min="4101" max="4101" width="12.7109375" style="291" bestFit="1" customWidth="1"/>
    <col min="4102" max="4102" width="13.28515625" style="291" bestFit="1" customWidth="1"/>
    <col min="4103" max="4355" width="11.42578125" style="291"/>
    <col min="4356" max="4356" width="55.7109375" style="291" bestFit="1" customWidth="1"/>
    <col min="4357" max="4357" width="12.7109375" style="291" bestFit="1" customWidth="1"/>
    <col min="4358" max="4358" width="13.28515625" style="291" bestFit="1" customWidth="1"/>
    <col min="4359" max="4611" width="11.42578125" style="291"/>
    <col min="4612" max="4612" width="55.7109375" style="291" bestFit="1" customWidth="1"/>
    <col min="4613" max="4613" width="12.7109375" style="291" bestFit="1" customWidth="1"/>
    <col min="4614" max="4614" width="13.28515625" style="291" bestFit="1" customWidth="1"/>
    <col min="4615" max="4867" width="11.42578125" style="291"/>
    <col min="4868" max="4868" width="55.7109375" style="291" bestFit="1" customWidth="1"/>
    <col min="4869" max="4869" width="12.7109375" style="291" bestFit="1" customWidth="1"/>
    <col min="4870" max="4870" width="13.28515625" style="291" bestFit="1" customWidth="1"/>
    <col min="4871" max="5123" width="11.42578125" style="291"/>
    <col min="5124" max="5124" width="55.7109375" style="291" bestFit="1" customWidth="1"/>
    <col min="5125" max="5125" width="12.7109375" style="291" bestFit="1" customWidth="1"/>
    <col min="5126" max="5126" width="13.28515625" style="291" bestFit="1" customWidth="1"/>
    <col min="5127" max="5379" width="11.42578125" style="291"/>
    <col min="5380" max="5380" width="55.7109375" style="291" bestFit="1" customWidth="1"/>
    <col min="5381" max="5381" width="12.7109375" style="291" bestFit="1" customWidth="1"/>
    <col min="5382" max="5382" width="13.28515625" style="291" bestFit="1" customWidth="1"/>
    <col min="5383" max="5635" width="11.42578125" style="291"/>
    <col min="5636" max="5636" width="55.7109375" style="291" bestFit="1" customWidth="1"/>
    <col min="5637" max="5637" width="12.7109375" style="291" bestFit="1" customWidth="1"/>
    <col min="5638" max="5638" width="13.28515625" style="291" bestFit="1" customWidth="1"/>
    <col min="5639" max="5891" width="11.42578125" style="291"/>
    <col min="5892" max="5892" width="55.7109375" style="291" bestFit="1" customWidth="1"/>
    <col min="5893" max="5893" width="12.7109375" style="291" bestFit="1" customWidth="1"/>
    <col min="5894" max="5894" width="13.28515625" style="291" bestFit="1" customWidth="1"/>
    <col min="5895" max="6147" width="11.42578125" style="291"/>
    <col min="6148" max="6148" width="55.7109375" style="291" bestFit="1" customWidth="1"/>
    <col min="6149" max="6149" width="12.7109375" style="291" bestFit="1" customWidth="1"/>
    <col min="6150" max="6150" width="13.28515625" style="291" bestFit="1" customWidth="1"/>
    <col min="6151" max="6403" width="11.42578125" style="291"/>
    <col min="6404" max="6404" width="55.7109375" style="291" bestFit="1" customWidth="1"/>
    <col min="6405" max="6405" width="12.7109375" style="291" bestFit="1" customWidth="1"/>
    <col min="6406" max="6406" width="13.28515625" style="291" bestFit="1" customWidth="1"/>
    <col min="6407" max="6659" width="11.42578125" style="291"/>
    <col min="6660" max="6660" width="55.7109375" style="291" bestFit="1" customWidth="1"/>
    <col min="6661" max="6661" width="12.7109375" style="291" bestFit="1" customWidth="1"/>
    <col min="6662" max="6662" width="13.28515625" style="291" bestFit="1" customWidth="1"/>
    <col min="6663" max="6915" width="11.42578125" style="291"/>
    <col min="6916" max="6916" width="55.7109375" style="291" bestFit="1" customWidth="1"/>
    <col min="6917" max="6917" width="12.7109375" style="291" bestFit="1" customWidth="1"/>
    <col min="6918" max="6918" width="13.28515625" style="291" bestFit="1" customWidth="1"/>
    <col min="6919" max="7171" width="11.42578125" style="291"/>
    <col min="7172" max="7172" width="55.7109375" style="291" bestFit="1" customWidth="1"/>
    <col min="7173" max="7173" width="12.7109375" style="291" bestFit="1" customWidth="1"/>
    <col min="7174" max="7174" width="13.28515625" style="291" bestFit="1" customWidth="1"/>
    <col min="7175" max="7427" width="11.42578125" style="291"/>
    <col min="7428" max="7428" width="55.7109375" style="291" bestFit="1" customWidth="1"/>
    <col min="7429" max="7429" width="12.7109375" style="291" bestFit="1" customWidth="1"/>
    <col min="7430" max="7430" width="13.28515625" style="291" bestFit="1" customWidth="1"/>
    <col min="7431" max="7683" width="11.42578125" style="291"/>
    <col min="7684" max="7684" width="55.7109375" style="291" bestFit="1" customWidth="1"/>
    <col min="7685" max="7685" width="12.7109375" style="291" bestFit="1" customWidth="1"/>
    <col min="7686" max="7686" width="13.28515625" style="291" bestFit="1" customWidth="1"/>
    <col min="7687" max="7939" width="11.42578125" style="291"/>
    <col min="7940" max="7940" width="55.7109375" style="291" bestFit="1" customWidth="1"/>
    <col min="7941" max="7941" width="12.7109375" style="291" bestFit="1" customWidth="1"/>
    <col min="7942" max="7942" width="13.28515625" style="291" bestFit="1" customWidth="1"/>
    <col min="7943" max="8195" width="11.42578125" style="291"/>
    <col min="8196" max="8196" width="55.7109375" style="291" bestFit="1" customWidth="1"/>
    <col min="8197" max="8197" width="12.7109375" style="291" bestFit="1" customWidth="1"/>
    <col min="8198" max="8198" width="13.28515625" style="291" bestFit="1" customWidth="1"/>
    <col min="8199" max="8451" width="11.42578125" style="291"/>
    <col min="8452" max="8452" width="55.7109375" style="291" bestFit="1" customWidth="1"/>
    <col min="8453" max="8453" width="12.7109375" style="291" bestFit="1" customWidth="1"/>
    <col min="8454" max="8454" width="13.28515625" style="291" bestFit="1" customWidth="1"/>
    <col min="8455" max="8707" width="11.42578125" style="291"/>
    <col min="8708" max="8708" width="55.7109375" style="291" bestFit="1" customWidth="1"/>
    <col min="8709" max="8709" width="12.7109375" style="291" bestFit="1" customWidth="1"/>
    <col min="8710" max="8710" width="13.28515625" style="291" bestFit="1" customWidth="1"/>
    <col min="8711" max="8963" width="11.42578125" style="291"/>
    <col min="8964" max="8964" width="55.7109375" style="291" bestFit="1" customWidth="1"/>
    <col min="8965" max="8965" width="12.7109375" style="291" bestFit="1" customWidth="1"/>
    <col min="8966" max="8966" width="13.28515625" style="291" bestFit="1" customWidth="1"/>
    <col min="8967" max="9219" width="11.42578125" style="291"/>
    <col min="9220" max="9220" width="55.7109375" style="291" bestFit="1" customWidth="1"/>
    <col min="9221" max="9221" width="12.7109375" style="291" bestFit="1" customWidth="1"/>
    <col min="9222" max="9222" width="13.28515625" style="291" bestFit="1" customWidth="1"/>
    <col min="9223" max="9475" width="11.42578125" style="291"/>
    <col min="9476" max="9476" width="55.7109375" style="291" bestFit="1" customWidth="1"/>
    <col min="9477" max="9477" width="12.7109375" style="291" bestFit="1" customWidth="1"/>
    <col min="9478" max="9478" width="13.28515625" style="291" bestFit="1" customWidth="1"/>
    <col min="9479" max="9731" width="11.42578125" style="291"/>
    <col min="9732" max="9732" width="55.7109375" style="291" bestFit="1" customWidth="1"/>
    <col min="9733" max="9733" width="12.7109375" style="291" bestFit="1" customWidth="1"/>
    <col min="9734" max="9734" width="13.28515625" style="291" bestFit="1" customWidth="1"/>
    <col min="9735" max="9987" width="11.42578125" style="291"/>
    <col min="9988" max="9988" width="55.7109375" style="291" bestFit="1" customWidth="1"/>
    <col min="9989" max="9989" width="12.7109375" style="291" bestFit="1" customWidth="1"/>
    <col min="9990" max="9990" width="13.28515625" style="291" bestFit="1" customWidth="1"/>
    <col min="9991" max="10243" width="11.42578125" style="291"/>
    <col min="10244" max="10244" width="55.7109375" style="291" bestFit="1" customWidth="1"/>
    <col min="10245" max="10245" width="12.7109375" style="291" bestFit="1" customWidth="1"/>
    <col min="10246" max="10246" width="13.28515625" style="291" bestFit="1" customWidth="1"/>
    <col min="10247" max="10499" width="11.42578125" style="291"/>
    <col min="10500" max="10500" width="55.7109375" style="291" bestFit="1" customWidth="1"/>
    <col min="10501" max="10501" width="12.7109375" style="291" bestFit="1" customWidth="1"/>
    <col min="10502" max="10502" width="13.28515625" style="291" bestFit="1" customWidth="1"/>
    <col min="10503" max="10755" width="11.42578125" style="291"/>
    <col min="10756" max="10756" width="55.7109375" style="291" bestFit="1" customWidth="1"/>
    <col min="10757" max="10757" width="12.7109375" style="291" bestFit="1" customWidth="1"/>
    <col min="10758" max="10758" width="13.28515625" style="291" bestFit="1" customWidth="1"/>
    <col min="10759" max="11011" width="11.42578125" style="291"/>
    <col min="11012" max="11012" width="55.7109375" style="291" bestFit="1" customWidth="1"/>
    <col min="11013" max="11013" width="12.7109375" style="291" bestFit="1" customWidth="1"/>
    <col min="11014" max="11014" width="13.28515625" style="291" bestFit="1" customWidth="1"/>
    <col min="11015" max="11267" width="11.42578125" style="291"/>
    <col min="11268" max="11268" width="55.7109375" style="291" bestFit="1" customWidth="1"/>
    <col min="11269" max="11269" width="12.7109375" style="291" bestFit="1" customWidth="1"/>
    <col min="11270" max="11270" width="13.28515625" style="291" bestFit="1" customWidth="1"/>
    <col min="11271" max="11523" width="11.42578125" style="291"/>
    <col min="11524" max="11524" width="55.7109375" style="291" bestFit="1" customWidth="1"/>
    <col min="11525" max="11525" width="12.7109375" style="291" bestFit="1" customWidth="1"/>
    <col min="11526" max="11526" width="13.28515625" style="291" bestFit="1" customWidth="1"/>
    <col min="11527" max="11779" width="11.42578125" style="291"/>
    <col min="11780" max="11780" width="55.7109375" style="291" bestFit="1" customWidth="1"/>
    <col min="11781" max="11781" width="12.7109375" style="291" bestFit="1" customWidth="1"/>
    <col min="11782" max="11782" width="13.28515625" style="291" bestFit="1" customWidth="1"/>
    <col min="11783" max="12035" width="11.42578125" style="291"/>
    <col min="12036" max="12036" width="55.7109375" style="291" bestFit="1" customWidth="1"/>
    <col min="12037" max="12037" width="12.7109375" style="291" bestFit="1" customWidth="1"/>
    <col min="12038" max="12038" width="13.28515625" style="291" bestFit="1" customWidth="1"/>
    <col min="12039" max="12291" width="11.42578125" style="291"/>
    <col min="12292" max="12292" width="55.7109375" style="291" bestFit="1" customWidth="1"/>
    <col min="12293" max="12293" width="12.7109375" style="291" bestFit="1" customWidth="1"/>
    <col min="12294" max="12294" width="13.28515625" style="291" bestFit="1" customWidth="1"/>
    <col min="12295" max="12547" width="11.42578125" style="291"/>
    <col min="12548" max="12548" width="55.7109375" style="291" bestFit="1" customWidth="1"/>
    <col min="12549" max="12549" width="12.7109375" style="291" bestFit="1" customWidth="1"/>
    <col min="12550" max="12550" width="13.28515625" style="291" bestFit="1" customWidth="1"/>
    <col min="12551" max="12803" width="11.42578125" style="291"/>
    <col min="12804" max="12804" width="55.7109375" style="291" bestFit="1" customWidth="1"/>
    <col min="12805" max="12805" width="12.7109375" style="291" bestFit="1" customWidth="1"/>
    <col min="12806" max="12806" width="13.28515625" style="291" bestFit="1" customWidth="1"/>
    <col min="12807" max="13059" width="11.42578125" style="291"/>
    <col min="13060" max="13060" width="55.7109375" style="291" bestFit="1" customWidth="1"/>
    <col min="13061" max="13061" width="12.7109375" style="291" bestFit="1" customWidth="1"/>
    <col min="13062" max="13062" width="13.28515625" style="291" bestFit="1" customWidth="1"/>
    <col min="13063" max="13315" width="11.42578125" style="291"/>
    <col min="13316" max="13316" width="55.7109375" style="291" bestFit="1" customWidth="1"/>
    <col min="13317" max="13317" width="12.7109375" style="291" bestFit="1" customWidth="1"/>
    <col min="13318" max="13318" width="13.28515625" style="291" bestFit="1" customWidth="1"/>
    <col min="13319" max="13571" width="11.42578125" style="291"/>
    <col min="13572" max="13572" width="55.7109375" style="291" bestFit="1" customWidth="1"/>
    <col min="13573" max="13573" width="12.7109375" style="291" bestFit="1" customWidth="1"/>
    <col min="13574" max="13574" width="13.28515625" style="291" bestFit="1" customWidth="1"/>
    <col min="13575" max="13827" width="11.42578125" style="291"/>
    <col min="13828" max="13828" width="55.7109375" style="291" bestFit="1" customWidth="1"/>
    <col min="13829" max="13829" width="12.7109375" style="291" bestFit="1" customWidth="1"/>
    <col min="13830" max="13830" width="13.28515625" style="291" bestFit="1" customWidth="1"/>
    <col min="13831" max="14083" width="11.42578125" style="291"/>
    <col min="14084" max="14084" width="55.7109375" style="291" bestFit="1" customWidth="1"/>
    <col min="14085" max="14085" width="12.7109375" style="291" bestFit="1" customWidth="1"/>
    <col min="14086" max="14086" width="13.28515625" style="291" bestFit="1" customWidth="1"/>
    <col min="14087" max="14339" width="11.42578125" style="291"/>
    <col min="14340" max="14340" width="55.7109375" style="291" bestFit="1" customWidth="1"/>
    <col min="14341" max="14341" width="12.7109375" style="291" bestFit="1" customWidth="1"/>
    <col min="14342" max="14342" width="13.28515625" style="291" bestFit="1" customWidth="1"/>
    <col min="14343" max="14595" width="11.42578125" style="291"/>
    <col min="14596" max="14596" width="55.7109375" style="291" bestFit="1" customWidth="1"/>
    <col min="14597" max="14597" width="12.7109375" style="291" bestFit="1" customWidth="1"/>
    <col min="14598" max="14598" width="13.28515625" style="291" bestFit="1" customWidth="1"/>
    <col min="14599" max="14851" width="11.42578125" style="291"/>
    <col min="14852" max="14852" width="55.7109375" style="291" bestFit="1" customWidth="1"/>
    <col min="14853" max="14853" width="12.7109375" style="291" bestFit="1" customWidth="1"/>
    <col min="14854" max="14854" width="13.28515625" style="291" bestFit="1" customWidth="1"/>
    <col min="14855" max="15107" width="11.42578125" style="291"/>
    <col min="15108" max="15108" width="55.7109375" style="291" bestFit="1" customWidth="1"/>
    <col min="15109" max="15109" width="12.7109375" style="291" bestFit="1" customWidth="1"/>
    <col min="15110" max="15110" width="13.28515625" style="291" bestFit="1" customWidth="1"/>
    <col min="15111" max="15363" width="11.42578125" style="291"/>
    <col min="15364" max="15364" width="55.7109375" style="291" bestFit="1" customWidth="1"/>
    <col min="15365" max="15365" width="12.7109375" style="291" bestFit="1" customWidth="1"/>
    <col min="15366" max="15366" width="13.28515625" style="291" bestFit="1" customWidth="1"/>
    <col min="15367" max="15619" width="11.42578125" style="291"/>
    <col min="15620" max="15620" width="55.7109375" style="291" bestFit="1" customWidth="1"/>
    <col min="15621" max="15621" width="12.7109375" style="291" bestFit="1" customWidth="1"/>
    <col min="15622" max="15622" width="13.28515625" style="291" bestFit="1" customWidth="1"/>
    <col min="15623" max="15875" width="11.42578125" style="291"/>
    <col min="15876" max="15876" width="55.7109375" style="291" bestFit="1" customWidth="1"/>
    <col min="15877" max="15877" width="12.7109375" style="291" bestFit="1" customWidth="1"/>
    <col min="15878" max="15878" width="13.28515625" style="291" bestFit="1" customWidth="1"/>
    <col min="15879" max="16131" width="11.42578125" style="291"/>
    <col min="16132" max="16132" width="55.7109375" style="291" bestFit="1" customWidth="1"/>
    <col min="16133" max="16133" width="12.7109375" style="291" bestFit="1" customWidth="1"/>
    <col min="16134" max="16134" width="13.28515625" style="291" bestFit="1" customWidth="1"/>
    <col min="16135" max="16384" width="11.42578125" style="291"/>
  </cols>
  <sheetData>
    <row r="3" spans="3:8">
      <c r="C3" s="558" t="s">
        <v>460</v>
      </c>
      <c r="D3" s="558"/>
      <c r="E3" s="558"/>
      <c r="F3" s="558"/>
      <c r="G3" s="558"/>
    </row>
    <row r="4" spans="3:8">
      <c r="C4" s="558" t="s">
        <v>461</v>
      </c>
      <c r="D4" s="558"/>
      <c r="E4" s="558"/>
      <c r="F4" s="558"/>
      <c r="G4" s="558"/>
    </row>
    <row r="5" spans="3:8" ht="15.75" thickBot="1">
      <c r="C5" s="558" t="s">
        <v>413</v>
      </c>
      <c r="D5" s="558"/>
      <c r="E5" s="558"/>
      <c r="F5" s="558"/>
      <c r="G5" s="558"/>
    </row>
    <row r="6" spans="3:8" ht="15.75" thickBot="1">
      <c r="E6" s="559" t="s">
        <v>462</v>
      </c>
      <c r="F6" s="560"/>
      <c r="G6" s="561"/>
    </row>
    <row r="7" spans="3:8" ht="30.75" thickBot="1">
      <c r="C7" s="392" t="s">
        <v>463</v>
      </c>
      <c r="D7" s="393" t="s">
        <v>464</v>
      </c>
      <c r="E7" s="394" t="s">
        <v>418</v>
      </c>
      <c r="F7" s="394" t="s">
        <v>465</v>
      </c>
      <c r="G7" s="395" t="s">
        <v>466</v>
      </c>
    </row>
    <row r="8" spans="3:8">
      <c r="C8" s="396" t="s">
        <v>467</v>
      </c>
      <c r="D8" s="397" t="s">
        <v>41</v>
      </c>
      <c r="E8" s="398">
        <v>180906350</v>
      </c>
      <c r="F8" s="398">
        <v>161971443</v>
      </c>
      <c r="G8" s="399">
        <f t="shared" ref="G8:G59" si="0">+F8/E8-1</f>
        <v>-0.10466690085781949</v>
      </c>
    </row>
    <row r="9" spans="3:8">
      <c r="C9" s="396" t="s">
        <v>468</v>
      </c>
      <c r="D9" s="397" t="s">
        <v>40</v>
      </c>
      <c r="E9" s="398">
        <v>187088989</v>
      </c>
      <c r="F9" s="398">
        <v>121849721</v>
      </c>
      <c r="G9" s="399">
        <f t="shared" si="0"/>
        <v>-0.34870714919518864</v>
      </c>
    </row>
    <row r="10" spans="3:8">
      <c r="C10" s="396" t="s">
        <v>469</v>
      </c>
      <c r="D10" s="397" t="s">
        <v>33</v>
      </c>
      <c r="E10" s="398">
        <v>63182749</v>
      </c>
      <c r="F10" s="398">
        <v>87379523</v>
      </c>
      <c r="G10" s="400">
        <f t="shared" si="0"/>
        <v>0.38296488175910159</v>
      </c>
    </row>
    <row r="11" spans="3:8">
      <c r="C11" s="396" t="s">
        <v>470</v>
      </c>
      <c r="D11" s="397" t="s">
        <v>250</v>
      </c>
      <c r="E11" s="398">
        <v>47288608.759999998</v>
      </c>
      <c r="F11" s="398">
        <v>77586550.299999997</v>
      </c>
      <c r="G11" s="400">
        <f t="shared" si="0"/>
        <v>0.64070274711968489</v>
      </c>
      <c r="H11" s="401"/>
    </row>
    <row r="12" spans="3:8">
      <c r="C12" s="396" t="s">
        <v>471</v>
      </c>
      <c r="D12" s="397" t="s">
        <v>48</v>
      </c>
      <c r="E12" s="398">
        <v>58557993</v>
      </c>
      <c r="F12" s="398">
        <v>69503477</v>
      </c>
      <c r="G12" s="400">
        <f t="shared" si="0"/>
        <v>0.18691699355201608</v>
      </c>
    </row>
    <row r="13" spans="3:8">
      <c r="C13" s="396" t="s">
        <v>472</v>
      </c>
      <c r="D13" s="397" t="s">
        <v>47</v>
      </c>
      <c r="E13" s="398">
        <v>67625747</v>
      </c>
      <c r="F13" s="398">
        <v>64961959</v>
      </c>
      <c r="G13" s="399">
        <f t="shared" si="0"/>
        <v>-3.9390145294809109E-2</v>
      </c>
    </row>
    <row r="14" spans="3:8">
      <c r="C14" s="396" t="s">
        <v>473</v>
      </c>
      <c r="D14" s="397" t="s">
        <v>39</v>
      </c>
      <c r="E14" s="398">
        <v>58913120</v>
      </c>
      <c r="F14" s="398">
        <v>43771819.25</v>
      </c>
      <c r="G14" s="399">
        <f t="shared" si="0"/>
        <v>-0.25701067521122634</v>
      </c>
    </row>
    <row r="15" spans="3:8">
      <c r="C15" s="396" t="s">
        <v>474</v>
      </c>
      <c r="D15" s="397" t="s">
        <v>35</v>
      </c>
      <c r="E15" s="398">
        <v>44056075.410000004</v>
      </c>
      <c r="F15" s="398">
        <v>40131558.509999998</v>
      </c>
      <c r="G15" s="399">
        <f t="shared" si="0"/>
        <v>-8.908003864341496E-2</v>
      </c>
    </row>
    <row r="16" spans="3:8">
      <c r="C16" s="396" t="s">
        <v>475</v>
      </c>
      <c r="D16" s="397" t="s">
        <v>300</v>
      </c>
      <c r="E16" s="398">
        <v>130262695</v>
      </c>
      <c r="F16" s="398">
        <v>39366324</v>
      </c>
      <c r="G16" s="399">
        <f t="shared" si="0"/>
        <v>-0.69779280245967579</v>
      </c>
    </row>
    <row r="17" spans="3:7">
      <c r="C17" s="396" t="s">
        <v>476</v>
      </c>
      <c r="D17" s="397" t="s">
        <v>212</v>
      </c>
      <c r="E17" s="398">
        <v>45879475.359999999</v>
      </c>
      <c r="F17" s="398">
        <v>34600704.5</v>
      </c>
      <c r="G17" s="399">
        <f t="shared" si="0"/>
        <v>-0.24583478279774296</v>
      </c>
    </row>
    <row r="18" spans="3:7">
      <c r="C18" s="396" t="s">
        <v>477</v>
      </c>
      <c r="D18" s="397" t="s">
        <v>478</v>
      </c>
      <c r="E18" s="398">
        <v>20340036</v>
      </c>
      <c r="F18" s="398">
        <v>31259184</v>
      </c>
      <c r="G18" s="400">
        <f t="shared" si="0"/>
        <v>0.53683031829442185</v>
      </c>
    </row>
    <row r="19" spans="3:7">
      <c r="C19" s="396" t="s">
        <v>479</v>
      </c>
      <c r="D19" s="397" t="s">
        <v>480</v>
      </c>
      <c r="E19" s="398">
        <v>36758124</v>
      </c>
      <c r="F19" s="398">
        <v>24757871</v>
      </c>
      <c r="G19" s="399">
        <f t="shared" si="0"/>
        <v>-0.32646532777352832</v>
      </c>
    </row>
    <row r="20" spans="3:7">
      <c r="C20" s="396" t="s">
        <v>481</v>
      </c>
      <c r="D20" s="397" t="s">
        <v>332</v>
      </c>
      <c r="E20" s="398">
        <v>18384961</v>
      </c>
      <c r="F20" s="398">
        <v>23374124.439999998</v>
      </c>
      <c r="G20" s="400">
        <f t="shared" si="0"/>
        <v>0.2713719893123514</v>
      </c>
    </row>
    <row r="21" spans="3:7">
      <c r="C21" s="396" t="s">
        <v>482</v>
      </c>
      <c r="D21" s="397" t="s">
        <v>51</v>
      </c>
      <c r="E21" s="398">
        <v>11466106</v>
      </c>
      <c r="F21" s="398">
        <v>18196041</v>
      </c>
      <c r="G21" s="400">
        <f t="shared" si="0"/>
        <v>0.58694163476249051</v>
      </c>
    </row>
    <row r="22" spans="3:7">
      <c r="C22" s="396" t="s">
        <v>483</v>
      </c>
      <c r="D22" s="397" t="s">
        <v>36</v>
      </c>
      <c r="E22" s="398">
        <v>13851421</v>
      </c>
      <c r="F22" s="398">
        <v>18021298</v>
      </c>
      <c r="G22" s="400">
        <f t="shared" si="0"/>
        <v>0.30104326480293975</v>
      </c>
    </row>
    <row r="23" spans="3:7">
      <c r="C23" s="402" t="s">
        <v>484</v>
      </c>
      <c r="D23" s="397" t="s">
        <v>485</v>
      </c>
      <c r="E23" s="398">
        <v>3416880.8600000003</v>
      </c>
      <c r="F23" s="398">
        <v>17199656.780000001</v>
      </c>
      <c r="G23" s="400" t="s">
        <v>159</v>
      </c>
    </row>
    <row r="24" spans="3:7">
      <c r="C24" s="396" t="s">
        <v>486</v>
      </c>
      <c r="D24" s="397" t="s">
        <v>49</v>
      </c>
      <c r="E24" s="398">
        <v>17965095.670000002</v>
      </c>
      <c r="F24" s="398">
        <v>17019878</v>
      </c>
      <c r="G24" s="399">
        <f t="shared" si="0"/>
        <v>-5.2614118363890738E-2</v>
      </c>
    </row>
    <row r="25" spans="3:7">
      <c r="C25" s="396" t="s">
        <v>487</v>
      </c>
      <c r="D25" s="397" t="s">
        <v>354</v>
      </c>
      <c r="E25" s="398">
        <v>41452000</v>
      </c>
      <c r="F25" s="398">
        <v>14976000</v>
      </c>
      <c r="G25" s="399">
        <f t="shared" si="0"/>
        <v>-0.63871465791759141</v>
      </c>
    </row>
    <row r="26" spans="3:7">
      <c r="C26" s="396" t="s">
        <v>488</v>
      </c>
      <c r="D26" s="397" t="s">
        <v>37</v>
      </c>
      <c r="E26" s="398">
        <v>20642484.77</v>
      </c>
      <c r="F26" s="398">
        <v>14185261</v>
      </c>
      <c r="G26" s="399">
        <f t="shared" si="0"/>
        <v>-0.31281233058649849</v>
      </c>
    </row>
    <row r="27" spans="3:7">
      <c r="C27" s="396" t="s">
        <v>489</v>
      </c>
      <c r="D27" s="397" t="s">
        <v>358</v>
      </c>
      <c r="E27" s="398">
        <v>73741</v>
      </c>
      <c r="F27" s="398">
        <v>12663637</v>
      </c>
      <c r="G27" s="400" t="s">
        <v>159</v>
      </c>
    </row>
    <row r="28" spans="3:7">
      <c r="C28" s="396" t="s">
        <v>490</v>
      </c>
      <c r="D28" s="397" t="s">
        <v>491</v>
      </c>
      <c r="E28" s="398">
        <v>5545454</v>
      </c>
      <c r="F28" s="398">
        <v>12350456.159999998</v>
      </c>
      <c r="G28" s="400">
        <f t="shared" si="0"/>
        <v>1.2271316577506544</v>
      </c>
    </row>
    <row r="29" spans="3:7">
      <c r="C29" s="396" t="s">
        <v>492</v>
      </c>
      <c r="D29" s="397" t="s">
        <v>493</v>
      </c>
      <c r="E29" s="398">
        <v>7649565.7300000004</v>
      </c>
      <c r="F29" s="398">
        <v>10582525.359999999</v>
      </c>
      <c r="G29" s="400">
        <f t="shared" si="0"/>
        <v>0.38341518113865525</v>
      </c>
    </row>
    <row r="30" spans="3:7">
      <c r="C30" s="396" t="s">
        <v>494</v>
      </c>
      <c r="D30" s="397" t="s">
        <v>495</v>
      </c>
      <c r="E30" s="398">
        <v>13644100</v>
      </c>
      <c r="F30" s="398">
        <v>10444600</v>
      </c>
      <c r="G30" s="399">
        <f t="shared" si="0"/>
        <v>-0.23449696205685977</v>
      </c>
    </row>
    <row r="31" spans="3:7">
      <c r="C31" s="396" t="s">
        <v>496</v>
      </c>
      <c r="D31" s="397" t="s">
        <v>52</v>
      </c>
      <c r="E31" s="398">
        <v>5706316</v>
      </c>
      <c r="F31" s="398">
        <v>10381868</v>
      </c>
      <c r="G31" s="400">
        <f t="shared" si="0"/>
        <v>0.81936436748332908</v>
      </c>
    </row>
    <row r="32" spans="3:7">
      <c r="C32" s="396" t="s">
        <v>497</v>
      </c>
      <c r="D32" s="397" t="s">
        <v>355</v>
      </c>
      <c r="E32" s="398">
        <v>10313329</v>
      </c>
      <c r="F32" s="398">
        <v>9427599</v>
      </c>
      <c r="G32" s="399">
        <f t="shared" si="0"/>
        <v>-8.5882065819872566E-2</v>
      </c>
    </row>
    <row r="33" spans="3:7">
      <c r="C33" s="396" t="s">
        <v>498</v>
      </c>
      <c r="D33" s="397" t="s">
        <v>34</v>
      </c>
      <c r="E33" s="398">
        <v>6027537</v>
      </c>
      <c r="F33" s="398">
        <v>8838424</v>
      </c>
      <c r="G33" s="400">
        <f t="shared" si="0"/>
        <v>0.46634089512847443</v>
      </c>
    </row>
    <row r="34" spans="3:7">
      <c r="C34" s="396" t="s">
        <v>499</v>
      </c>
      <c r="D34" s="397" t="s">
        <v>215</v>
      </c>
      <c r="E34" s="398">
        <v>12368293.41</v>
      </c>
      <c r="F34" s="398">
        <v>7852200.96</v>
      </c>
      <c r="G34" s="399">
        <f t="shared" si="0"/>
        <v>-0.36513464714126631</v>
      </c>
    </row>
    <row r="35" spans="3:7">
      <c r="C35" s="396" t="s">
        <v>500</v>
      </c>
      <c r="D35" s="397" t="s">
        <v>501</v>
      </c>
      <c r="E35" s="398">
        <v>4629669.0600000005</v>
      </c>
      <c r="F35" s="398">
        <v>7739920.7800000012</v>
      </c>
      <c r="G35" s="400">
        <f t="shared" si="0"/>
        <v>0.67180864975260257</v>
      </c>
    </row>
    <row r="36" spans="3:7">
      <c r="C36" s="396" t="s">
        <v>502</v>
      </c>
      <c r="D36" s="397" t="s">
        <v>42</v>
      </c>
      <c r="E36" s="398">
        <v>6648143</v>
      </c>
      <c r="F36" s="398">
        <v>7094323</v>
      </c>
      <c r="G36" s="400">
        <f t="shared" si="0"/>
        <v>6.7113478154726902E-2</v>
      </c>
    </row>
    <row r="37" spans="3:7">
      <c r="C37" s="396" t="s">
        <v>503</v>
      </c>
      <c r="D37" s="397" t="s">
        <v>84</v>
      </c>
      <c r="E37" s="398">
        <v>6814926.1299999999</v>
      </c>
      <c r="F37" s="398">
        <v>6542964.6699999999</v>
      </c>
      <c r="G37" s="399">
        <f t="shared" si="0"/>
        <v>-3.9906736303831347E-2</v>
      </c>
    </row>
    <row r="38" spans="3:7">
      <c r="C38" s="396" t="s">
        <v>504</v>
      </c>
      <c r="D38" s="397" t="s">
        <v>505</v>
      </c>
      <c r="E38" s="398">
        <v>4679500</v>
      </c>
      <c r="F38" s="398">
        <v>5731500</v>
      </c>
      <c r="G38" s="400">
        <f t="shared" si="0"/>
        <v>0.22481034298536162</v>
      </c>
    </row>
    <row r="39" spans="3:7">
      <c r="C39" s="396" t="s">
        <v>506</v>
      </c>
      <c r="D39" s="397" t="s">
        <v>507</v>
      </c>
      <c r="E39" s="398">
        <v>5287616.3999999994</v>
      </c>
      <c r="F39" s="398">
        <v>5463669.8399999999</v>
      </c>
      <c r="G39" s="400">
        <f t="shared" si="0"/>
        <v>3.3295425893603126E-2</v>
      </c>
    </row>
    <row r="40" spans="3:7">
      <c r="C40" s="396" t="s">
        <v>508</v>
      </c>
      <c r="D40" s="397" t="s">
        <v>509</v>
      </c>
      <c r="E40" s="398">
        <v>3990570.5</v>
      </c>
      <c r="F40" s="398">
        <v>4980826.7300000004</v>
      </c>
      <c r="G40" s="400">
        <f t="shared" si="0"/>
        <v>0.24814903783807374</v>
      </c>
    </row>
    <row r="41" spans="3:7">
      <c r="C41" s="396" t="s">
        <v>510</v>
      </c>
      <c r="D41" s="397" t="s">
        <v>511</v>
      </c>
      <c r="E41" s="398">
        <v>6154227.1699999999</v>
      </c>
      <c r="F41" s="398">
        <v>4961353.68</v>
      </c>
      <c r="G41" s="399">
        <f t="shared" si="0"/>
        <v>-0.19382994111996688</v>
      </c>
    </row>
    <row r="42" spans="3:7">
      <c r="C42" s="396" t="s">
        <v>512</v>
      </c>
      <c r="D42" s="397" t="s">
        <v>513</v>
      </c>
      <c r="E42" s="398">
        <v>2791997.9499999997</v>
      </c>
      <c r="F42" s="398">
        <v>4868460.18</v>
      </c>
      <c r="G42" s="400">
        <f t="shared" si="0"/>
        <v>0.74371910982241229</v>
      </c>
    </row>
    <row r="43" spans="3:7">
      <c r="C43" s="396" t="s">
        <v>514</v>
      </c>
      <c r="D43" s="397" t="s">
        <v>397</v>
      </c>
      <c r="E43" s="398">
        <v>4067755</v>
      </c>
      <c r="F43" s="398">
        <v>4479530</v>
      </c>
      <c r="G43" s="400">
        <f t="shared" si="0"/>
        <v>0.10122905632222201</v>
      </c>
    </row>
    <row r="44" spans="3:7">
      <c r="C44" s="396" t="s">
        <v>515</v>
      </c>
      <c r="D44" s="397" t="s">
        <v>516</v>
      </c>
      <c r="E44" s="398">
        <v>438500</v>
      </c>
      <c r="F44" s="398">
        <v>3860000</v>
      </c>
      <c r="G44" s="400" t="s">
        <v>159</v>
      </c>
    </row>
    <row r="45" spans="3:7">
      <c r="C45" s="396" t="s">
        <v>517</v>
      </c>
      <c r="D45" s="397" t="s">
        <v>518</v>
      </c>
      <c r="E45" s="398">
        <v>2347377.2999999998</v>
      </c>
      <c r="F45" s="398">
        <v>3772663</v>
      </c>
      <c r="G45" s="400">
        <f t="shared" si="0"/>
        <v>0.60718219435793319</v>
      </c>
    </row>
    <row r="46" spans="3:7">
      <c r="C46" s="396" t="s">
        <v>519</v>
      </c>
      <c r="D46" s="397" t="s">
        <v>520</v>
      </c>
      <c r="E46" s="398">
        <v>3443035.14</v>
      </c>
      <c r="F46" s="398">
        <v>3720541.38</v>
      </c>
      <c r="G46" s="400">
        <f t="shared" si="0"/>
        <v>8.0599305181648484E-2</v>
      </c>
    </row>
    <row r="47" spans="3:7">
      <c r="C47" s="396" t="s">
        <v>521</v>
      </c>
      <c r="D47" s="397" t="s">
        <v>398</v>
      </c>
      <c r="E47" s="398">
        <v>3125427</v>
      </c>
      <c r="F47" s="398">
        <v>3719920</v>
      </c>
      <c r="G47" s="400">
        <f t="shared" si="0"/>
        <v>0.19021176946382057</v>
      </c>
    </row>
    <row r="48" spans="3:7">
      <c r="C48" s="396" t="s">
        <v>522</v>
      </c>
      <c r="D48" s="397" t="s">
        <v>523</v>
      </c>
      <c r="E48" s="398">
        <v>4108159</v>
      </c>
      <c r="F48" s="398">
        <v>3717701</v>
      </c>
      <c r="G48" s="399">
        <f t="shared" si="0"/>
        <v>-9.5044519941900996E-2</v>
      </c>
    </row>
    <row r="49" spans="3:7">
      <c r="C49" s="396" t="s">
        <v>524</v>
      </c>
      <c r="D49" s="397" t="s">
        <v>525</v>
      </c>
      <c r="E49" s="398">
        <v>1774196.7399999998</v>
      </c>
      <c r="F49" s="398">
        <v>3370200</v>
      </c>
      <c r="G49" s="400">
        <f t="shared" si="0"/>
        <v>0.8995638555845844</v>
      </c>
    </row>
    <row r="50" spans="3:7">
      <c r="C50" s="396" t="s">
        <v>526</v>
      </c>
      <c r="D50" s="397" t="s">
        <v>527</v>
      </c>
      <c r="E50" s="398">
        <v>3854560</v>
      </c>
      <c r="F50" s="398">
        <v>3304449</v>
      </c>
      <c r="G50" s="399">
        <f t="shared" si="0"/>
        <v>-0.14271693786061179</v>
      </c>
    </row>
    <row r="51" spans="3:7">
      <c r="C51" s="396" t="s">
        <v>528</v>
      </c>
      <c r="D51" s="397" t="s">
        <v>529</v>
      </c>
      <c r="E51" s="398">
        <v>7706832</v>
      </c>
      <c r="F51" s="398">
        <v>3220886</v>
      </c>
      <c r="G51" s="399">
        <f t="shared" si="0"/>
        <v>-0.58207393128590323</v>
      </c>
    </row>
    <row r="52" spans="3:7">
      <c r="C52" s="396" t="s">
        <v>530</v>
      </c>
      <c r="D52" s="397" t="s">
        <v>531</v>
      </c>
      <c r="E52" s="398">
        <v>3935512</v>
      </c>
      <c r="F52" s="398">
        <v>3172252</v>
      </c>
      <c r="G52" s="399">
        <f t="shared" si="0"/>
        <v>-0.19394172854764513</v>
      </c>
    </row>
    <row r="53" spans="3:7">
      <c r="C53" s="396" t="s">
        <v>532</v>
      </c>
      <c r="D53" s="397" t="s">
        <v>533</v>
      </c>
      <c r="E53" s="398">
        <v>962000</v>
      </c>
      <c r="F53" s="398">
        <v>3170930</v>
      </c>
      <c r="G53" s="400" t="s">
        <v>159</v>
      </c>
    </row>
    <row r="54" spans="3:7">
      <c r="C54" s="396" t="s">
        <v>534</v>
      </c>
      <c r="D54" s="397" t="s">
        <v>53</v>
      </c>
      <c r="E54" s="398">
        <v>1804840</v>
      </c>
      <c r="F54" s="398">
        <v>3047551.52</v>
      </c>
      <c r="G54" s="400">
        <f t="shared" si="0"/>
        <v>0.68854387092484659</v>
      </c>
    </row>
    <row r="55" spans="3:7">
      <c r="C55" s="396" t="s">
        <v>535</v>
      </c>
      <c r="D55" s="397" t="s">
        <v>536</v>
      </c>
      <c r="E55" s="398">
        <v>3270000</v>
      </c>
      <c r="F55" s="398">
        <v>2945160</v>
      </c>
      <c r="G55" s="399">
        <f t="shared" si="0"/>
        <v>-9.9339449541284375E-2</v>
      </c>
    </row>
    <row r="56" spans="3:7">
      <c r="C56" s="396" t="s">
        <v>537</v>
      </c>
      <c r="D56" s="397" t="s">
        <v>538</v>
      </c>
      <c r="E56" s="398">
        <v>2499799.4899999998</v>
      </c>
      <c r="F56" s="398">
        <v>2336681.92</v>
      </c>
      <c r="G56" s="399">
        <f t="shared" si="0"/>
        <v>-6.5252261492380725E-2</v>
      </c>
    </row>
    <row r="57" spans="3:7">
      <c r="C57" s="396" t="s">
        <v>539</v>
      </c>
      <c r="D57" s="397" t="s">
        <v>540</v>
      </c>
      <c r="E57" s="398">
        <v>2214966</v>
      </c>
      <c r="F57" s="398">
        <v>2326031</v>
      </c>
      <c r="G57" s="400">
        <f t="shared" si="0"/>
        <v>5.0142981878728676E-2</v>
      </c>
    </row>
    <row r="58" spans="3:7" ht="15.75" thickBot="1">
      <c r="C58" s="403"/>
      <c r="D58" s="404" t="s">
        <v>541</v>
      </c>
      <c r="E58" s="405">
        <f>E59-SUM(E8:E57)</f>
        <v>115767161.2099998</v>
      </c>
      <c r="F58" s="405">
        <f>F59-SUM(F8:F57)</f>
        <v>79634117.529999733</v>
      </c>
      <c r="G58" s="399">
        <f t="shared" si="0"/>
        <v>-0.31211824927152954</v>
      </c>
    </row>
    <row r="59" spans="3:7" ht="15.75" thickBot="1">
      <c r="C59" s="406"/>
      <c r="D59" s="407" t="s">
        <v>419</v>
      </c>
      <c r="E59" s="408">
        <v>1331684019.0600002</v>
      </c>
      <c r="F59" s="409">
        <v>1179835337.4899998</v>
      </c>
      <c r="G59" s="410">
        <f t="shared" si="0"/>
        <v>-0.11402756164122652</v>
      </c>
    </row>
    <row r="60" spans="3:7">
      <c r="C60" s="383"/>
      <c r="D60" s="411"/>
      <c r="E60" s="412">
        <f>+'[2]Inversiones 1'!K23-'[2]Inversiones 2'!E59</f>
        <v>0</v>
      </c>
      <c r="F60" s="412">
        <f>-F59+'[2]Inversiones 1'!K22</f>
        <v>-1179835337.4899998</v>
      </c>
      <c r="G60" s="413"/>
    </row>
    <row r="61" spans="3:7">
      <c r="C61" s="369" t="s">
        <v>436</v>
      </c>
      <c r="D61" s="414"/>
      <c r="E61" s="412">
        <f>+E59-'[2]Inversiones 1'!K23</f>
        <v>1331684019.0600002</v>
      </c>
      <c r="F61" s="412">
        <f>+F59-'[2]Inversiones 1'!K22</f>
        <v>1179835337.4899998</v>
      </c>
      <c r="G61" s="415"/>
    </row>
    <row r="62" spans="3:7">
      <c r="C62" s="374" t="s">
        <v>437</v>
      </c>
      <c r="D62" s="345"/>
      <c r="E62" s="416"/>
      <c r="F62" s="417"/>
      <c r="G62" s="418"/>
    </row>
    <row r="63" spans="3:7">
      <c r="C63" s="374" t="s">
        <v>438</v>
      </c>
      <c r="D63" s="345"/>
      <c r="E63" s="416"/>
      <c r="F63" s="417"/>
      <c r="G63" s="418"/>
    </row>
    <row r="64" spans="3:7">
      <c r="C64" s="374"/>
      <c r="D64" s="345"/>
      <c r="E64" s="345"/>
      <c r="F64" s="419"/>
      <c r="G64" s="345"/>
    </row>
    <row r="65" spans="3:7">
      <c r="C65" s="378" t="s">
        <v>439</v>
      </c>
      <c r="F65" s="420"/>
      <c r="G65" s="345"/>
    </row>
    <row r="66" spans="3:7">
      <c r="C66" s="381"/>
      <c r="F66" s="420"/>
      <c r="G66" s="345"/>
    </row>
    <row r="67" spans="3:7">
      <c r="C67" s="381" t="s">
        <v>440</v>
      </c>
      <c r="F67" s="420"/>
      <c r="G67" s="345"/>
    </row>
    <row r="68" spans="3:7">
      <c r="E68" s="345"/>
      <c r="F68" s="345"/>
    </row>
    <row r="69" spans="3:7">
      <c r="C69" s="381" t="s">
        <v>441</v>
      </c>
      <c r="E69" s="345"/>
      <c r="F69" s="345"/>
      <c r="G69" s="345"/>
    </row>
    <row r="70" spans="3:7">
      <c r="C70" s="383" t="s">
        <v>442</v>
      </c>
      <c r="E70" s="421"/>
      <c r="F70" s="421"/>
      <c r="G70" s="422"/>
    </row>
  </sheetData>
  <mergeCells count="4">
    <mergeCell ref="C3:G3"/>
    <mergeCell ref="C4:G4"/>
    <mergeCell ref="C5:G5"/>
    <mergeCell ref="E6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BD84"/>
  <sheetViews>
    <sheetView topLeftCell="A7" workbookViewId="0">
      <selection activeCell="I27" sqref="H12:I27"/>
    </sheetView>
  </sheetViews>
  <sheetFormatPr baseColWidth="10" defaultRowHeight="15"/>
  <cols>
    <col min="1" max="1" width="11.42578125" style="291"/>
    <col min="2" max="2" width="18.85546875" style="291" customWidth="1"/>
    <col min="3" max="7" width="11.42578125" style="291"/>
    <col min="8" max="8" width="18.140625" style="291" customWidth="1"/>
    <col min="9" max="26" width="11.42578125" style="291"/>
    <col min="27" max="27" width="15.7109375" style="291" bestFit="1" customWidth="1"/>
    <col min="28" max="33" width="11.42578125" style="291"/>
    <col min="34" max="35" width="12.7109375" style="291" bestFit="1" customWidth="1"/>
    <col min="36" max="36" width="11.42578125" style="291"/>
    <col min="37" max="37" width="17.5703125" style="291" bestFit="1" customWidth="1"/>
    <col min="38" max="38" width="13" style="368" bestFit="1" customWidth="1"/>
    <col min="39" max="39" width="13" style="368" customWidth="1"/>
    <col min="40" max="43" width="11.42578125" style="291"/>
    <col min="44" max="44" width="50.42578125" style="291" bestFit="1" customWidth="1"/>
    <col min="45" max="45" width="20.7109375" style="291" bestFit="1" customWidth="1"/>
    <col min="46" max="257" width="11.42578125" style="291"/>
    <col min="258" max="258" width="18.85546875" style="291" customWidth="1"/>
    <col min="259" max="282" width="11.42578125" style="291"/>
    <col min="283" max="283" width="15.7109375" style="291" bestFit="1" customWidth="1"/>
    <col min="284" max="289" width="11.42578125" style="291"/>
    <col min="290" max="291" width="12.7109375" style="291" bestFit="1" customWidth="1"/>
    <col min="292" max="292" width="11.42578125" style="291"/>
    <col min="293" max="293" width="17.5703125" style="291" bestFit="1" customWidth="1"/>
    <col min="294" max="294" width="13" style="291" bestFit="1" customWidth="1"/>
    <col min="295" max="295" width="13" style="291" customWidth="1"/>
    <col min="296" max="299" width="11.42578125" style="291"/>
    <col min="300" max="300" width="50.42578125" style="291" bestFit="1" customWidth="1"/>
    <col min="301" max="301" width="20.7109375" style="291" bestFit="1" customWidth="1"/>
    <col min="302" max="513" width="11.42578125" style="291"/>
    <col min="514" max="514" width="18.85546875" style="291" customWidth="1"/>
    <col min="515" max="538" width="11.42578125" style="291"/>
    <col min="539" max="539" width="15.7109375" style="291" bestFit="1" customWidth="1"/>
    <col min="540" max="545" width="11.42578125" style="291"/>
    <col min="546" max="547" width="12.7109375" style="291" bestFit="1" customWidth="1"/>
    <col min="548" max="548" width="11.42578125" style="291"/>
    <col min="549" max="549" width="17.5703125" style="291" bestFit="1" customWidth="1"/>
    <col min="550" max="550" width="13" style="291" bestFit="1" customWidth="1"/>
    <col min="551" max="551" width="13" style="291" customWidth="1"/>
    <col min="552" max="555" width="11.42578125" style="291"/>
    <col min="556" max="556" width="50.42578125" style="291" bestFit="1" customWidth="1"/>
    <col min="557" max="557" width="20.7109375" style="291" bestFit="1" customWidth="1"/>
    <col min="558" max="769" width="11.42578125" style="291"/>
    <col min="770" max="770" width="18.85546875" style="291" customWidth="1"/>
    <col min="771" max="794" width="11.42578125" style="291"/>
    <col min="795" max="795" width="15.7109375" style="291" bestFit="1" customWidth="1"/>
    <col min="796" max="801" width="11.42578125" style="291"/>
    <col min="802" max="803" width="12.7109375" style="291" bestFit="1" customWidth="1"/>
    <col min="804" max="804" width="11.42578125" style="291"/>
    <col min="805" max="805" width="17.5703125" style="291" bestFit="1" customWidth="1"/>
    <col min="806" max="806" width="13" style="291" bestFit="1" customWidth="1"/>
    <col min="807" max="807" width="13" style="291" customWidth="1"/>
    <col min="808" max="811" width="11.42578125" style="291"/>
    <col min="812" max="812" width="50.42578125" style="291" bestFit="1" customWidth="1"/>
    <col min="813" max="813" width="20.7109375" style="291" bestFit="1" customWidth="1"/>
    <col min="814" max="1025" width="11.42578125" style="291"/>
    <col min="1026" max="1026" width="18.85546875" style="291" customWidth="1"/>
    <col min="1027" max="1050" width="11.42578125" style="291"/>
    <col min="1051" max="1051" width="15.7109375" style="291" bestFit="1" customWidth="1"/>
    <col min="1052" max="1057" width="11.42578125" style="291"/>
    <col min="1058" max="1059" width="12.7109375" style="291" bestFit="1" customWidth="1"/>
    <col min="1060" max="1060" width="11.42578125" style="291"/>
    <col min="1061" max="1061" width="17.5703125" style="291" bestFit="1" customWidth="1"/>
    <col min="1062" max="1062" width="13" style="291" bestFit="1" customWidth="1"/>
    <col min="1063" max="1063" width="13" style="291" customWidth="1"/>
    <col min="1064" max="1067" width="11.42578125" style="291"/>
    <col min="1068" max="1068" width="50.42578125" style="291" bestFit="1" customWidth="1"/>
    <col min="1069" max="1069" width="20.7109375" style="291" bestFit="1" customWidth="1"/>
    <col min="1070" max="1281" width="11.42578125" style="291"/>
    <col min="1282" max="1282" width="18.85546875" style="291" customWidth="1"/>
    <col min="1283" max="1306" width="11.42578125" style="291"/>
    <col min="1307" max="1307" width="15.7109375" style="291" bestFit="1" customWidth="1"/>
    <col min="1308" max="1313" width="11.42578125" style="291"/>
    <col min="1314" max="1315" width="12.7109375" style="291" bestFit="1" customWidth="1"/>
    <col min="1316" max="1316" width="11.42578125" style="291"/>
    <col min="1317" max="1317" width="17.5703125" style="291" bestFit="1" customWidth="1"/>
    <col min="1318" max="1318" width="13" style="291" bestFit="1" customWidth="1"/>
    <col min="1319" max="1319" width="13" style="291" customWidth="1"/>
    <col min="1320" max="1323" width="11.42578125" style="291"/>
    <col min="1324" max="1324" width="50.42578125" style="291" bestFit="1" customWidth="1"/>
    <col min="1325" max="1325" width="20.7109375" style="291" bestFit="1" customWidth="1"/>
    <col min="1326" max="1537" width="11.42578125" style="291"/>
    <col min="1538" max="1538" width="18.85546875" style="291" customWidth="1"/>
    <col min="1539" max="1562" width="11.42578125" style="291"/>
    <col min="1563" max="1563" width="15.7109375" style="291" bestFit="1" customWidth="1"/>
    <col min="1564" max="1569" width="11.42578125" style="291"/>
    <col min="1570" max="1571" width="12.7109375" style="291" bestFit="1" customWidth="1"/>
    <col min="1572" max="1572" width="11.42578125" style="291"/>
    <col min="1573" max="1573" width="17.5703125" style="291" bestFit="1" customWidth="1"/>
    <col min="1574" max="1574" width="13" style="291" bestFit="1" customWidth="1"/>
    <col min="1575" max="1575" width="13" style="291" customWidth="1"/>
    <col min="1576" max="1579" width="11.42578125" style="291"/>
    <col min="1580" max="1580" width="50.42578125" style="291" bestFit="1" customWidth="1"/>
    <col min="1581" max="1581" width="20.7109375" style="291" bestFit="1" customWidth="1"/>
    <col min="1582" max="1793" width="11.42578125" style="291"/>
    <col min="1794" max="1794" width="18.85546875" style="291" customWidth="1"/>
    <col min="1795" max="1818" width="11.42578125" style="291"/>
    <col min="1819" max="1819" width="15.7109375" style="291" bestFit="1" customWidth="1"/>
    <col min="1820" max="1825" width="11.42578125" style="291"/>
    <col min="1826" max="1827" width="12.7109375" style="291" bestFit="1" customWidth="1"/>
    <col min="1828" max="1828" width="11.42578125" style="291"/>
    <col min="1829" max="1829" width="17.5703125" style="291" bestFit="1" customWidth="1"/>
    <col min="1830" max="1830" width="13" style="291" bestFit="1" customWidth="1"/>
    <col min="1831" max="1831" width="13" style="291" customWidth="1"/>
    <col min="1832" max="1835" width="11.42578125" style="291"/>
    <col min="1836" max="1836" width="50.42578125" style="291" bestFit="1" customWidth="1"/>
    <col min="1837" max="1837" width="20.7109375" style="291" bestFit="1" customWidth="1"/>
    <col min="1838" max="2049" width="11.42578125" style="291"/>
    <col min="2050" max="2050" width="18.85546875" style="291" customWidth="1"/>
    <col min="2051" max="2074" width="11.42578125" style="291"/>
    <col min="2075" max="2075" width="15.7109375" style="291" bestFit="1" customWidth="1"/>
    <col min="2076" max="2081" width="11.42578125" style="291"/>
    <col min="2082" max="2083" width="12.7109375" style="291" bestFit="1" customWidth="1"/>
    <col min="2084" max="2084" width="11.42578125" style="291"/>
    <col min="2085" max="2085" width="17.5703125" style="291" bestFit="1" customWidth="1"/>
    <col min="2086" max="2086" width="13" style="291" bestFit="1" customWidth="1"/>
    <col min="2087" max="2087" width="13" style="291" customWidth="1"/>
    <col min="2088" max="2091" width="11.42578125" style="291"/>
    <col min="2092" max="2092" width="50.42578125" style="291" bestFit="1" customWidth="1"/>
    <col min="2093" max="2093" width="20.7109375" style="291" bestFit="1" customWidth="1"/>
    <col min="2094" max="2305" width="11.42578125" style="291"/>
    <col min="2306" max="2306" width="18.85546875" style="291" customWidth="1"/>
    <col min="2307" max="2330" width="11.42578125" style="291"/>
    <col min="2331" max="2331" width="15.7109375" style="291" bestFit="1" customWidth="1"/>
    <col min="2332" max="2337" width="11.42578125" style="291"/>
    <col min="2338" max="2339" width="12.7109375" style="291" bestFit="1" customWidth="1"/>
    <col min="2340" max="2340" width="11.42578125" style="291"/>
    <col min="2341" max="2341" width="17.5703125" style="291" bestFit="1" customWidth="1"/>
    <col min="2342" max="2342" width="13" style="291" bestFit="1" customWidth="1"/>
    <col min="2343" max="2343" width="13" style="291" customWidth="1"/>
    <col min="2344" max="2347" width="11.42578125" style="291"/>
    <col min="2348" max="2348" width="50.42578125" style="291" bestFit="1" customWidth="1"/>
    <col min="2349" max="2349" width="20.7109375" style="291" bestFit="1" customWidth="1"/>
    <col min="2350" max="2561" width="11.42578125" style="291"/>
    <col min="2562" max="2562" width="18.85546875" style="291" customWidth="1"/>
    <col min="2563" max="2586" width="11.42578125" style="291"/>
    <col min="2587" max="2587" width="15.7109375" style="291" bestFit="1" customWidth="1"/>
    <col min="2588" max="2593" width="11.42578125" style="291"/>
    <col min="2594" max="2595" width="12.7109375" style="291" bestFit="1" customWidth="1"/>
    <col min="2596" max="2596" width="11.42578125" style="291"/>
    <col min="2597" max="2597" width="17.5703125" style="291" bestFit="1" customWidth="1"/>
    <col min="2598" max="2598" width="13" style="291" bestFit="1" customWidth="1"/>
    <col min="2599" max="2599" width="13" style="291" customWidth="1"/>
    <col min="2600" max="2603" width="11.42578125" style="291"/>
    <col min="2604" max="2604" width="50.42578125" style="291" bestFit="1" customWidth="1"/>
    <col min="2605" max="2605" width="20.7109375" style="291" bestFit="1" customWidth="1"/>
    <col min="2606" max="2817" width="11.42578125" style="291"/>
    <col min="2818" max="2818" width="18.85546875" style="291" customWidth="1"/>
    <col min="2819" max="2842" width="11.42578125" style="291"/>
    <col min="2843" max="2843" width="15.7109375" style="291" bestFit="1" customWidth="1"/>
    <col min="2844" max="2849" width="11.42578125" style="291"/>
    <col min="2850" max="2851" width="12.7109375" style="291" bestFit="1" customWidth="1"/>
    <col min="2852" max="2852" width="11.42578125" style="291"/>
    <col min="2853" max="2853" width="17.5703125" style="291" bestFit="1" customWidth="1"/>
    <col min="2854" max="2854" width="13" style="291" bestFit="1" customWidth="1"/>
    <col min="2855" max="2855" width="13" style="291" customWidth="1"/>
    <col min="2856" max="2859" width="11.42578125" style="291"/>
    <col min="2860" max="2860" width="50.42578125" style="291" bestFit="1" customWidth="1"/>
    <col min="2861" max="2861" width="20.7109375" style="291" bestFit="1" customWidth="1"/>
    <col min="2862" max="3073" width="11.42578125" style="291"/>
    <col min="3074" max="3074" width="18.85546875" style="291" customWidth="1"/>
    <col min="3075" max="3098" width="11.42578125" style="291"/>
    <col min="3099" max="3099" width="15.7109375" style="291" bestFit="1" customWidth="1"/>
    <col min="3100" max="3105" width="11.42578125" style="291"/>
    <col min="3106" max="3107" width="12.7109375" style="291" bestFit="1" customWidth="1"/>
    <col min="3108" max="3108" width="11.42578125" style="291"/>
    <col min="3109" max="3109" width="17.5703125" style="291" bestFit="1" customWidth="1"/>
    <col min="3110" max="3110" width="13" style="291" bestFit="1" customWidth="1"/>
    <col min="3111" max="3111" width="13" style="291" customWidth="1"/>
    <col min="3112" max="3115" width="11.42578125" style="291"/>
    <col min="3116" max="3116" width="50.42578125" style="291" bestFit="1" customWidth="1"/>
    <col min="3117" max="3117" width="20.7109375" style="291" bestFit="1" customWidth="1"/>
    <col min="3118" max="3329" width="11.42578125" style="291"/>
    <col min="3330" max="3330" width="18.85546875" style="291" customWidth="1"/>
    <col min="3331" max="3354" width="11.42578125" style="291"/>
    <col min="3355" max="3355" width="15.7109375" style="291" bestFit="1" customWidth="1"/>
    <col min="3356" max="3361" width="11.42578125" style="291"/>
    <col min="3362" max="3363" width="12.7109375" style="291" bestFit="1" customWidth="1"/>
    <col min="3364" max="3364" width="11.42578125" style="291"/>
    <col min="3365" max="3365" width="17.5703125" style="291" bestFit="1" customWidth="1"/>
    <col min="3366" max="3366" width="13" style="291" bestFit="1" customWidth="1"/>
    <col min="3367" max="3367" width="13" style="291" customWidth="1"/>
    <col min="3368" max="3371" width="11.42578125" style="291"/>
    <col min="3372" max="3372" width="50.42578125" style="291" bestFit="1" customWidth="1"/>
    <col min="3373" max="3373" width="20.7109375" style="291" bestFit="1" customWidth="1"/>
    <col min="3374" max="3585" width="11.42578125" style="291"/>
    <col min="3586" max="3586" width="18.85546875" style="291" customWidth="1"/>
    <col min="3587" max="3610" width="11.42578125" style="291"/>
    <col min="3611" max="3611" width="15.7109375" style="291" bestFit="1" customWidth="1"/>
    <col min="3612" max="3617" width="11.42578125" style="291"/>
    <col min="3618" max="3619" width="12.7109375" style="291" bestFit="1" customWidth="1"/>
    <col min="3620" max="3620" width="11.42578125" style="291"/>
    <col min="3621" max="3621" width="17.5703125" style="291" bestFit="1" customWidth="1"/>
    <col min="3622" max="3622" width="13" style="291" bestFit="1" customWidth="1"/>
    <col min="3623" max="3623" width="13" style="291" customWidth="1"/>
    <col min="3624" max="3627" width="11.42578125" style="291"/>
    <col min="3628" max="3628" width="50.42578125" style="291" bestFit="1" customWidth="1"/>
    <col min="3629" max="3629" width="20.7109375" style="291" bestFit="1" customWidth="1"/>
    <col min="3630" max="3841" width="11.42578125" style="291"/>
    <col min="3842" max="3842" width="18.85546875" style="291" customWidth="1"/>
    <col min="3843" max="3866" width="11.42578125" style="291"/>
    <col min="3867" max="3867" width="15.7109375" style="291" bestFit="1" customWidth="1"/>
    <col min="3868" max="3873" width="11.42578125" style="291"/>
    <col min="3874" max="3875" width="12.7109375" style="291" bestFit="1" customWidth="1"/>
    <col min="3876" max="3876" width="11.42578125" style="291"/>
    <col min="3877" max="3877" width="17.5703125" style="291" bestFit="1" customWidth="1"/>
    <col min="3878" max="3878" width="13" style="291" bestFit="1" customWidth="1"/>
    <col min="3879" max="3879" width="13" style="291" customWidth="1"/>
    <col min="3880" max="3883" width="11.42578125" style="291"/>
    <col min="3884" max="3884" width="50.42578125" style="291" bestFit="1" customWidth="1"/>
    <col min="3885" max="3885" width="20.7109375" style="291" bestFit="1" customWidth="1"/>
    <col min="3886" max="4097" width="11.42578125" style="291"/>
    <col min="4098" max="4098" width="18.85546875" style="291" customWidth="1"/>
    <col min="4099" max="4122" width="11.42578125" style="291"/>
    <col min="4123" max="4123" width="15.7109375" style="291" bestFit="1" customWidth="1"/>
    <col min="4124" max="4129" width="11.42578125" style="291"/>
    <col min="4130" max="4131" width="12.7109375" style="291" bestFit="1" customWidth="1"/>
    <col min="4132" max="4132" width="11.42578125" style="291"/>
    <col min="4133" max="4133" width="17.5703125" style="291" bestFit="1" customWidth="1"/>
    <col min="4134" max="4134" width="13" style="291" bestFit="1" customWidth="1"/>
    <col min="4135" max="4135" width="13" style="291" customWidth="1"/>
    <col min="4136" max="4139" width="11.42578125" style="291"/>
    <col min="4140" max="4140" width="50.42578125" style="291" bestFit="1" customWidth="1"/>
    <col min="4141" max="4141" width="20.7109375" style="291" bestFit="1" customWidth="1"/>
    <col min="4142" max="4353" width="11.42578125" style="291"/>
    <col min="4354" max="4354" width="18.85546875" style="291" customWidth="1"/>
    <col min="4355" max="4378" width="11.42578125" style="291"/>
    <col min="4379" max="4379" width="15.7109375" style="291" bestFit="1" customWidth="1"/>
    <col min="4380" max="4385" width="11.42578125" style="291"/>
    <col min="4386" max="4387" width="12.7109375" style="291" bestFit="1" customWidth="1"/>
    <col min="4388" max="4388" width="11.42578125" style="291"/>
    <col min="4389" max="4389" width="17.5703125" style="291" bestFit="1" customWidth="1"/>
    <col min="4390" max="4390" width="13" style="291" bestFit="1" customWidth="1"/>
    <col min="4391" max="4391" width="13" style="291" customWidth="1"/>
    <col min="4392" max="4395" width="11.42578125" style="291"/>
    <col min="4396" max="4396" width="50.42578125" style="291" bestFit="1" customWidth="1"/>
    <col min="4397" max="4397" width="20.7109375" style="291" bestFit="1" customWidth="1"/>
    <col min="4398" max="4609" width="11.42578125" style="291"/>
    <col min="4610" max="4610" width="18.85546875" style="291" customWidth="1"/>
    <col min="4611" max="4634" width="11.42578125" style="291"/>
    <col min="4635" max="4635" width="15.7109375" style="291" bestFit="1" customWidth="1"/>
    <col min="4636" max="4641" width="11.42578125" style="291"/>
    <col min="4642" max="4643" width="12.7109375" style="291" bestFit="1" customWidth="1"/>
    <col min="4644" max="4644" width="11.42578125" style="291"/>
    <col min="4645" max="4645" width="17.5703125" style="291" bestFit="1" customWidth="1"/>
    <col min="4646" max="4646" width="13" style="291" bestFit="1" customWidth="1"/>
    <col min="4647" max="4647" width="13" style="291" customWidth="1"/>
    <col min="4648" max="4651" width="11.42578125" style="291"/>
    <col min="4652" max="4652" width="50.42578125" style="291" bestFit="1" customWidth="1"/>
    <col min="4653" max="4653" width="20.7109375" style="291" bestFit="1" customWidth="1"/>
    <col min="4654" max="4865" width="11.42578125" style="291"/>
    <col min="4866" max="4866" width="18.85546875" style="291" customWidth="1"/>
    <col min="4867" max="4890" width="11.42578125" style="291"/>
    <col min="4891" max="4891" width="15.7109375" style="291" bestFit="1" customWidth="1"/>
    <col min="4892" max="4897" width="11.42578125" style="291"/>
    <col min="4898" max="4899" width="12.7109375" style="291" bestFit="1" customWidth="1"/>
    <col min="4900" max="4900" width="11.42578125" style="291"/>
    <col min="4901" max="4901" width="17.5703125" style="291" bestFit="1" customWidth="1"/>
    <col min="4902" max="4902" width="13" style="291" bestFit="1" customWidth="1"/>
    <col min="4903" max="4903" width="13" style="291" customWidth="1"/>
    <col min="4904" max="4907" width="11.42578125" style="291"/>
    <col min="4908" max="4908" width="50.42578125" style="291" bestFit="1" customWidth="1"/>
    <col min="4909" max="4909" width="20.7109375" style="291" bestFit="1" customWidth="1"/>
    <col min="4910" max="5121" width="11.42578125" style="291"/>
    <col min="5122" max="5122" width="18.85546875" style="291" customWidth="1"/>
    <col min="5123" max="5146" width="11.42578125" style="291"/>
    <col min="5147" max="5147" width="15.7109375" style="291" bestFit="1" customWidth="1"/>
    <col min="5148" max="5153" width="11.42578125" style="291"/>
    <col min="5154" max="5155" width="12.7109375" style="291" bestFit="1" customWidth="1"/>
    <col min="5156" max="5156" width="11.42578125" style="291"/>
    <col min="5157" max="5157" width="17.5703125" style="291" bestFit="1" customWidth="1"/>
    <col min="5158" max="5158" width="13" style="291" bestFit="1" customWidth="1"/>
    <col min="5159" max="5159" width="13" style="291" customWidth="1"/>
    <col min="5160" max="5163" width="11.42578125" style="291"/>
    <col min="5164" max="5164" width="50.42578125" style="291" bestFit="1" customWidth="1"/>
    <col min="5165" max="5165" width="20.7109375" style="291" bestFit="1" customWidth="1"/>
    <col min="5166" max="5377" width="11.42578125" style="291"/>
    <col min="5378" max="5378" width="18.85546875" style="291" customWidth="1"/>
    <col min="5379" max="5402" width="11.42578125" style="291"/>
    <col min="5403" max="5403" width="15.7109375" style="291" bestFit="1" customWidth="1"/>
    <col min="5404" max="5409" width="11.42578125" style="291"/>
    <col min="5410" max="5411" width="12.7109375" style="291" bestFit="1" customWidth="1"/>
    <col min="5412" max="5412" width="11.42578125" style="291"/>
    <col min="5413" max="5413" width="17.5703125" style="291" bestFit="1" customWidth="1"/>
    <col min="5414" max="5414" width="13" style="291" bestFit="1" customWidth="1"/>
    <col min="5415" max="5415" width="13" style="291" customWidth="1"/>
    <col min="5416" max="5419" width="11.42578125" style="291"/>
    <col min="5420" max="5420" width="50.42578125" style="291" bestFit="1" customWidth="1"/>
    <col min="5421" max="5421" width="20.7109375" style="291" bestFit="1" customWidth="1"/>
    <col min="5422" max="5633" width="11.42578125" style="291"/>
    <col min="5634" max="5634" width="18.85546875" style="291" customWidth="1"/>
    <col min="5635" max="5658" width="11.42578125" style="291"/>
    <col min="5659" max="5659" width="15.7109375" style="291" bestFit="1" customWidth="1"/>
    <col min="5660" max="5665" width="11.42578125" style="291"/>
    <col min="5666" max="5667" width="12.7109375" style="291" bestFit="1" customWidth="1"/>
    <col min="5668" max="5668" width="11.42578125" style="291"/>
    <col min="5669" max="5669" width="17.5703125" style="291" bestFit="1" customWidth="1"/>
    <col min="5670" max="5670" width="13" style="291" bestFit="1" customWidth="1"/>
    <col min="5671" max="5671" width="13" style="291" customWidth="1"/>
    <col min="5672" max="5675" width="11.42578125" style="291"/>
    <col min="5676" max="5676" width="50.42578125" style="291" bestFit="1" customWidth="1"/>
    <col min="5677" max="5677" width="20.7109375" style="291" bestFit="1" customWidth="1"/>
    <col min="5678" max="5889" width="11.42578125" style="291"/>
    <col min="5890" max="5890" width="18.85546875" style="291" customWidth="1"/>
    <col min="5891" max="5914" width="11.42578125" style="291"/>
    <col min="5915" max="5915" width="15.7109375" style="291" bestFit="1" customWidth="1"/>
    <col min="5916" max="5921" width="11.42578125" style="291"/>
    <col min="5922" max="5923" width="12.7109375" style="291" bestFit="1" customWidth="1"/>
    <col min="5924" max="5924" width="11.42578125" style="291"/>
    <col min="5925" max="5925" width="17.5703125" style="291" bestFit="1" customWidth="1"/>
    <col min="5926" max="5926" width="13" style="291" bestFit="1" customWidth="1"/>
    <col min="5927" max="5927" width="13" style="291" customWidth="1"/>
    <col min="5928" max="5931" width="11.42578125" style="291"/>
    <col min="5932" max="5932" width="50.42578125" style="291" bestFit="1" customWidth="1"/>
    <col min="5933" max="5933" width="20.7109375" style="291" bestFit="1" customWidth="1"/>
    <col min="5934" max="6145" width="11.42578125" style="291"/>
    <col min="6146" max="6146" width="18.85546875" style="291" customWidth="1"/>
    <col min="6147" max="6170" width="11.42578125" style="291"/>
    <col min="6171" max="6171" width="15.7109375" style="291" bestFit="1" customWidth="1"/>
    <col min="6172" max="6177" width="11.42578125" style="291"/>
    <col min="6178" max="6179" width="12.7109375" style="291" bestFit="1" customWidth="1"/>
    <col min="6180" max="6180" width="11.42578125" style="291"/>
    <col min="6181" max="6181" width="17.5703125" style="291" bestFit="1" customWidth="1"/>
    <col min="6182" max="6182" width="13" style="291" bestFit="1" customWidth="1"/>
    <col min="6183" max="6183" width="13" style="291" customWidth="1"/>
    <col min="6184" max="6187" width="11.42578125" style="291"/>
    <col min="6188" max="6188" width="50.42578125" style="291" bestFit="1" customWidth="1"/>
    <col min="6189" max="6189" width="20.7109375" style="291" bestFit="1" customWidth="1"/>
    <col min="6190" max="6401" width="11.42578125" style="291"/>
    <col min="6402" max="6402" width="18.85546875" style="291" customWidth="1"/>
    <col min="6403" max="6426" width="11.42578125" style="291"/>
    <col min="6427" max="6427" width="15.7109375" style="291" bestFit="1" customWidth="1"/>
    <col min="6428" max="6433" width="11.42578125" style="291"/>
    <col min="6434" max="6435" width="12.7109375" style="291" bestFit="1" customWidth="1"/>
    <col min="6436" max="6436" width="11.42578125" style="291"/>
    <col min="6437" max="6437" width="17.5703125" style="291" bestFit="1" customWidth="1"/>
    <col min="6438" max="6438" width="13" style="291" bestFit="1" customWidth="1"/>
    <col min="6439" max="6439" width="13" style="291" customWidth="1"/>
    <col min="6440" max="6443" width="11.42578125" style="291"/>
    <col min="6444" max="6444" width="50.42578125" style="291" bestFit="1" customWidth="1"/>
    <col min="6445" max="6445" width="20.7109375" style="291" bestFit="1" customWidth="1"/>
    <col min="6446" max="6657" width="11.42578125" style="291"/>
    <col min="6658" max="6658" width="18.85546875" style="291" customWidth="1"/>
    <col min="6659" max="6682" width="11.42578125" style="291"/>
    <col min="6683" max="6683" width="15.7109375" style="291" bestFit="1" customWidth="1"/>
    <col min="6684" max="6689" width="11.42578125" style="291"/>
    <col min="6690" max="6691" width="12.7109375" style="291" bestFit="1" customWidth="1"/>
    <col min="6692" max="6692" width="11.42578125" style="291"/>
    <col min="6693" max="6693" width="17.5703125" style="291" bestFit="1" customWidth="1"/>
    <col min="6694" max="6694" width="13" style="291" bestFit="1" customWidth="1"/>
    <col min="6695" max="6695" width="13" style="291" customWidth="1"/>
    <col min="6696" max="6699" width="11.42578125" style="291"/>
    <col min="6700" max="6700" width="50.42578125" style="291" bestFit="1" customWidth="1"/>
    <col min="6701" max="6701" width="20.7109375" style="291" bestFit="1" customWidth="1"/>
    <col min="6702" max="6913" width="11.42578125" style="291"/>
    <col min="6914" max="6914" width="18.85546875" style="291" customWidth="1"/>
    <col min="6915" max="6938" width="11.42578125" style="291"/>
    <col min="6939" max="6939" width="15.7109375" style="291" bestFit="1" customWidth="1"/>
    <col min="6940" max="6945" width="11.42578125" style="291"/>
    <col min="6946" max="6947" width="12.7109375" style="291" bestFit="1" customWidth="1"/>
    <col min="6948" max="6948" width="11.42578125" style="291"/>
    <col min="6949" max="6949" width="17.5703125" style="291" bestFit="1" customWidth="1"/>
    <col min="6950" max="6950" width="13" style="291" bestFit="1" customWidth="1"/>
    <col min="6951" max="6951" width="13" style="291" customWidth="1"/>
    <col min="6952" max="6955" width="11.42578125" style="291"/>
    <col min="6956" max="6956" width="50.42578125" style="291" bestFit="1" customWidth="1"/>
    <col min="6957" max="6957" width="20.7109375" style="291" bestFit="1" customWidth="1"/>
    <col min="6958" max="7169" width="11.42578125" style="291"/>
    <col min="7170" max="7170" width="18.85546875" style="291" customWidth="1"/>
    <col min="7171" max="7194" width="11.42578125" style="291"/>
    <col min="7195" max="7195" width="15.7109375" style="291" bestFit="1" customWidth="1"/>
    <col min="7196" max="7201" width="11.42578125" style="291"/>
    <col min="7202" max="7203" width="12.7109375" style="291" bestFit="1" customWidth="1"/>
    <col min="7204" max="7204" width="11.42578125" style="291"/>
    <col min="7205" max="7205" width="17.5703125" style="291" bestFit="1" customWidth="1"/>
    <col min="7206" max="7206" width="13" style="291" bestFit="1" customWidth="1"/>
    <col min="7207" max="7207" width="13" style="291" customWidth="1"/>
    <col min="7208" max="7211" width="11.42578125" style="291"/>
    <col min="7212" max="7212" width="50.42578125" style="291" bestFit="1" customWidth="1"/>
    <col min="7213" max="7213" width="20.7109375" style="291" bestFit="1" customWidth="1"/>
    <col min="7214" max="7425" width="11.42578125" style="291"/>
    <col min="7426" max="7426" width="18.85546875" style="291" customWidth="1"/>
    <col min="7427" max="7450" width="11.42578125" style="291"/>
    <col min="7451" max="7451" width="15.7109375" style="291" bestFit="1" customWidth="1"/>
    <col min="7452" max="7457" width="11.42578125" style="291"/>
    <col min="7458" max="7459" width="12.7109375" style="291" bestFit="1" customWidth="1"/>
    <col min="7460" max="7460" width="11.42578125" style="291"/>
    <col min="7461" max="7461" width="17.5703125" style="291" bestFit="1" customWidth="1"/>
    <col min="7462" max="7462" width="13" style="291" bestFit="1" customWidth="1"/>
    <col min="7463" max="7463" width="13" style="291" customWidth="1"/>
    <col min="7464" max="7467" width="11.42578125" style="291"/>
    <col min="7468" max="7468" width="50.42578125" style="291" bestFit="1" customWidth="1"/>
    <col min="7469" max="7469" width="20.7109375" style="291" bestFit="1" customWidth="1"/>
    <col min="7470" max="7681" width="11.42578125" style="291"/>
    <col min="7682" max="7682" width="18.85546875" style="291" customWidth="1"/>
    <col min="7683" max="7706" width="11.42578125" style="291"/>
    <col min="7707" max="7707" width="15.7109375" style="291" bestFit="1" customWidth="1"/>
    <col min="7708" max="7713" width="11.42578125" style="291"/>
    <col min="7714" max="7715" width="12.7109375" style="291" bestFit="1" customWidth="1"/>
    <col min="7716" max="7716" width="11.42578125" style="291"/>
    <col min="7717" max="7717" width="17.5703125" style="291" bestFit="1" customWidth="1"/>
    <col min="7718" max="7718" width="13" style="291" bestFit="1" customWidth="1"/>
    <col min="7719" max="7719" width="13" style="291" customWidth="1"/>
    <col min="7720" max="7723" width="11.42578125" style="291"/>
    <col min="7724" max="7724" width="50.42578125" style="291" bestFit="1" customWidth="1"/>
    <col min="7725" max="7725" width="20.7109375" style="291" bestFit="1" customWidth="1"/>
    <col min="7726" max="7937" width="11.42578125" style="291"/>
    <col min="7938" max="7938" width="18.85546875" style="291" customWidth="1"/>
    <col min="7939" max="7962" width="11.42578125" style="291"/>
    <col min="7963" max="7963" width="15.7109375" style="291" bestFit="1" customWidth="1"/>
    <col min="7964" max="7969" width="11.42578125" style="291"/>
    <col min="7970" max="7971" width="12.7109375" style="291" bestFit="1" customWidth="1"/>
    <col min="7972" max="7972" width="11.42578125" style="291"/>
    <col min="7973" max="7973" width="17.5703125" style="291" bestFit="1" customWidth="1"/>
    <col min="7974" max="7974" width="13" style="291" bestFit="1" customWidth="1"/>
    <col min="7975" max="7975" width="13" style="291" customWidth="1"/>
    <col min="7976" max="7979" width="11.42578125" style="291"/>
    <col min="7980" max="7980" width="50.42578125" style="291" bestFit="1" customWidth="1"/>
    <col min="7981" max="7981" width="20.7109375" style="291" bestFit="1" customWidth="1"/>
    <col min="7982" max="8193" width="11.42578125" style="291"/>
    <col min="8194" max="8194" width="18.85546875" style="291" customWidth="1"/>
    <col min="8195" max="8218" width="11.42578125" style="291"/>
    <col min="8219" max="8219" width="15.7109375" style="291" bestFit="1" customWidth="1"/>
    <col min="8220" max="8225" width="11.42578125" style="291"/>
    <col min="8226" max="8227" width="12.7109375" style="291" bestFit="1" customWidth="1"/>
    <col min="8228" max="8228" width="11.42578125" style="291"/>
    <col min="8229" max="8229" width="17.5703125" style="291" bestFit="1" customWidth="1"/>
    <col min="8230" max="8230" width="13" style="291" bestFit="1" customWidth="1"/>
    <col min="8231" max="8231" width="13" style="291" customWidth="1"/>
    <col min="8232" max="8235" width="11.42578125" style="291"/>
    <col min="8236" max="8236" width="50.42578125" style="291" bestFit="1" customWidth="1"/>
    <col min="8237" max="8237" width="20.7109375" style="291" bestFit="1" customWidth="1"/>
    <col min="8238" max="8449" width="11.42578125" style="291"/>
    <col min="8450" max="8450" width="18.85546875" style="291" customWidth="1"/>
    <col min="8451" max="8474" width="11.42578125" style="291"/>
    <col min="8475" max="8475" width="15.7109375" style="291" bestFit="1" customWidth="1"/>
    <col min="8476" max="8481" width="11.42578125" style="291"/>
    <col min="8482" max="8483" width="12.7109375" style="291" bestFit="1" customWidth="1"/>
    <col min="8484" max="8484" width="11.42578125" style="291"/>
    <col min="8485" max="8485" width="17.5703125" style="291" bestFit="1" customWidth="1"/>
    <col min="8486" max="8486" width="13" style="291" bestFit="1" customWidth="1"/>
    <col min="8487" max="8487" width="13" style="291" customWidth="1"/>
    <col min="8488" max="8491" width="11.42578125" style="291"/>
    <col min="8492" max="8492" width="50.42578125" style="291" bestFit="1" customWidth="1"/>
    <col min="8493" max="8493" width="20.7109375" style="291" bestFit="1" customWidth="1"/>
    <col min="8494" max="8705" width="11.42578125" style="291"/>
    <col min="8706" max="8706" width="18.85546875" style="291" customWidth="1"/>
    <col min="8707" max="8730" width="11.42578125" style="291"/>
    <col min="8731" max="8731" width="15.7109375" style="291" bestFit="1" customWidth="1"/>
    <col min="8732" max="8737" width="11.42578125" style="291"/>
    <col min="8738" max="8739" width="12.7109375" style="291" bestFit="1" customWidth="1"/>
    <col min="8740" max="8740" width="11.42578125" style="291"/>
    <col min="8741" max="8741" width="17.5703125" style="291" bestFit="1" customWidth="1"/>
    <col min="8742" max="8742" width="13" style="291" bestFit="1" customWidth="1"/>
    <col min="8743" max="8743" width="13" style="291" customWidth="1"/>
    <col min="8744" max="8747" width="11.42578125" style="291"/>
    <col min="8748" max="8748" width="50.42578125" style="291" bestFit="1" customWidth="1"/>
    <col min="8749" max="8749" width="20.7109375" style="291" bestFit="1" customWidth="1"/>
    <col min="8750" max="8961" width="11.42578125" style="291"/>
    <col min="8962" max="8962" width="18.85546875" style="291" customWidth="1"/>
    <col min="8963" max="8986" width="11.42578125" style="291"/>
    <col min="8987" max="8987" width="15.7109375" style="291" bestFit="1" customWidth="1"/>
    <col min="8988" max="8993" width="11.42578125" style="291"/>
    <col min="8994" max="8995" width="12.7109375" style="291" bestFit="1" customWidth="1"/>
    <col min="8996" max="8996" width="11.42578125" style="291"/>
    <col min="8997" max="8997" width="17.5703125" style="291" bestFit="1" customWidth="1"/>
    <col min="8998" max="8998" width="13" style="291" bestFit="1" customWidth="1"/>
    <col min="8999" max="8999" width="13" style="291" customWidth="1"/>
    <col min="9000" max="9003" width="11.42578125" style="291"/>
    <col min="9004" max="9004" width="50.42578125" style="291" bestFit="1" customWidth="1"/>
    <col min="9005" max="9005" width="20.7109375" style="291" bestFit="1" customWidth="1"/>
    <col min="9006" max="9217" width="11.42578125" style="291"/>
    <col min="9218" max="9218" width="18.85546875" style="291" customWidth="1"/>
    <col min="9219" max="9242" width="11.42578125" style="291"/>
    <col min="9243" max="9243" width="15.7109375" style="291" bestFit="1" customWidth="1"/>
    <col min="9244" max="9249" width="11.42578125" style="291"/>
    <col min="9250" max="9251" width="12.7109375" style="291" bestFit="1" customWidth="1"/>
    <col min="9252" max="9252" width="11.42578125" style="291"/>
    <col min="9253" max="9253" width="17.5703125" style="291" bestFit="1" customWidth="1"/>
    <col min="9254" max="9254" width="13" style="291" bestFit="1" customWidth="1"/>
    <col min="9255" max="9255" width="13" style="291" customWidth="1"/>
    <col min="9256" max="9259" width="11.42578125" style="291"/>
    <col min="9260" max="9260" width="50.42578125" style="291" bestFit="1" customWidth="1"/>
    <col min="9261" max="9261" width="20.7109375" style="291" bestFit="1" customWidth="1"/>
    <col min="9262" max="9473" width="11.42578125" style="291"/>
    <col min="9474" max="9474" width="18.85546875" style="291" customWidth="1"/>
    <col min="9475" max="9498" width="11.42578125" style="291"/>
    <col min="9499" max="9499" width="15.7109375" style="291" bestFit="1" customWidth="1"/>
    <col min="9500" max="9505" width="11.42578125" style="291"/>
    <col min="9506" max="9507" width="12.7109375" style="291" bestFit="1" customWidth="1"/>
    <col min="9508" max="9508" width="11.42578125" style="291"/>
    <col min="9509" max="9509" width="17.5703125" style="291" bestFit="1" customWidth="1"/>
    <col min="9510" max="9510" width="13" style="291" bestFit="1" customWidth="1"/>
    <col min="9511" max="9511" width="13" style="291" customWidth="1"/>
    <col min="9512" max="9515" width="11.42578125" style="291"/>
    <col min="9516" max="9516" width="50.42578125" style="291" bestFit="1" customWidth="1"/>
    <col min="9517" max="9517" width="20.7109375" style="291" bestFit="1" customWidth="1"/>
    <col min="9518" max="9729" width="11.42578125" style="291"/>
    <col min="9730" max="9730" width="18.85546875" style="291" customWidth="1"/>
    <col min="9731" max="9754" width="11.42578125" style="291"/>
    <col min="9755" max="9755" width="15.7109375" style="291" bestFit="1" customWidth="1"/>
    <col min="9756" max="9761" width="11.42578125" style="291"/>
    <col min="9762" max="9763" width="12.7109375" style="291" bestFit="1" customWidth="1"/>
    <col min="9764" max="9764" width="11.42578125" style="291"/>
    <col min="9765" max="9765" width="17.5703125" style="291" bestFit="1" customWidth="1"/>
    <col min="9766" max="9766" width="13" style="291" bestFit="1" customWidth="1"/>
    <col min="9767" max="9767" width="13" style="291" customWidth="1"/>
    <col min="9768" max="9771" width="11.42578125" style="291"/>
    <col min="9772" max="9772" width="50.42578125" style="291" bestFit="1" customWidth="1"/>
    <col min="9773" max="9773" width="20.7109375" style="291" bestFit="1" customWidth="1"/>
    <col min="9774" max="9985" width="11.42578125" style="291"/>
    <col min="9986" max="9986" width="18.85546875" style="291" customWidth="1"/>
    <col min="9987" max="10010" width="11.42578125" style="291"/>
    <col min="10011" max="10011" width="15.7109375" style="291" bestFit="1" customWidth="1"/>
    <col min="10012" max="10017" width="11.42578125" style="291"/>
    <col min="10018" max="10019" width="12.7109375" style="291" bestFit="1" customWidth="1"/>
    <col min="10020" max="10020" width="11.42578125" style="291"/>
    <col min="10021" max="10021" width="17.5703125" style="291" bestFit="1" customWidth="1"/>
    <col min="10022" max="10022" width="13" style="291" bestFit="1" customWidth="1"/>
    <col min="10023" max="10023" width="13" style="291" customWidth="1"/>
    <col min="10024" max="10027" width="11.42578125" style="291"/>
    <col min="10028" max="10028" width="50.42578125" style="291" bestFit="1" customWidth="1"/>
    <col min="10029" max="10029" width="20.7109375" style="291" bestFit="1" customWidth="1"/>
    <col min="10030" max="10241" width="11.42578125" style="291"/>
    <col min="10242" max="10242" width="18.85546875" style="291" customWidth="1"/>
    <col min="10243" max="10266" width="11.42578125" style="291"/>
    <col min="10267" max="10267" width="15.7109375" style="291" bestFit="1" customWidth="1"/>
    <col min="10268" max="10273" width="11.42578125" style="291"/>
    <col min="10274" max="10275" width="12.7109375" style="291" bestFit="1" customWidth="1"/>
    <col min="10276" max="10276" width="11.42578125" style="291"/>
    <col min="10277" max="10277" width="17.5703125" style="291" bestFit="1" customWidth="1"/>
    <col min="10278" max="10278" width="13" style="291" bestFit="1" customWidth="1"/>
    <col min="10279" max="10279" width="13" style="291" customWidth="1"/>
    <col min="10280" max="10283" width="11.42578125" style="291"/>
    <col min="10284" max="10284" width="50.42578125" style="291" bestFit="1" customWidth="1"/>
    <col min="10285" max="10285" width="20.7109375" style="291" bestFit="1" customWidth="1"/>
    <col min="10286" max="10497" width="11.42578125" style="291"/>
    <col min="10498" max="10498" width="18.85546875" style="291" customWidth="1"/>
    <col min="10499" max="10522" width="11.42578125" style="291"/>
    <col min="10523" max="10523" width="15.7109375" style="291" bestFit="1" customWidth="1"/>
    <col min="10524" max="10529" width="11.42578125" style="291"/>
    <col min="10530" max="10531" width="12.7109375" style="291" bestFit="1" customWidth="1"/>
    <col min="10532" max="10532" width="11.42578125" style="291"/>
    <col min="10533" max="10533" width="17.5703125" style="291" bestFit="1" customWidth="1"/>
    <col min="10534" max="10534" width="13" style="291" bestFit="1" customWidth="1"/>
    <col min="10535" max="10535" width="13" style="291" customWidth="1"/>
    <col min="10536" max="10539" width="11.42578125" style="291"/>
    <col min="10540" max="10540" width="50.42578125" style="291" bestFit="1" customWidth="1"/>
    <col min="10541" max="10541" width="20.7109375" style="291" bestFit="1" customWidth="1"/>
    <col min="10542" max="10753" width="11.42578125" style="291"/>
    <col min="10754" max="10754" width="18.85546875" style="291" customWidth="1"/>
    <col min="10755" max="10778" width="11.42578125" style="291"/>
    <col min="10779" max="10779" width="15.7109375" style="291" bestFit="1" customWidth="1"/>
    <col min="10780" max="10785" width="11.42578125" style="291"/>
    <col min="10786" max="10787" width="12.7109375" style="291" bestFit="1" customWidth="1"/>
    <col min="10788" max="10788" width="11.42578125" style="291"/>
    <col min="10789" max="10789" width="17.5703125" style="291" bestFit="1" customWidth="1"/>
    <col min="10790" max="10790" width="13" style="291" bestFit="1" customWidth="1"/>
    <col min="10791" max="10791" width="13" style="291" customWidth="1"/>
    <col min="10792" max="10795" width="11.42578125" style="291"/>
    <col min="10796" max="10796" width="50.42578125" style="291" bestFit="1" customWidth="1"/>
    <col min="10797" max="10797" width="20.7109375" style="291" bestFit="1" customWidth="1"/>
    <col min="10798" max="11009" width="11.42578125" style="291"/>
    <col min="11010" max="11010" width="18.85546875" style="291" customWidth="1"/>
    <col min="11011" max="11034" width="11.42578125" style="291"/>
    <col min="11035" max="11035" width="15.7109375" style="291" bestFit="1" customWidth="1"/>
    <col min="11036" max="11041" width="11.42578125" style="291"/>
    <col min="11042" max="11043" width="12.7109375" style="291" bestFit="1" customWidth="1"/>
    <col min="11044" max="11044" width="11.42578125" style="291"/>
    <col min="11045" max="11045" width="17.5703125" style="291" bestFit="1" customWidth="1"/>
    <col min="11046" max="11046" width="13" style="291" bestFit="1" customWidth="1"/>
    <col min="11047" max="11047" width="13" style="291" customWidth="1"/>
    <col min="11048" max="11051" width="11.42578125" style="291"/>
    <col min="11052" max="11052" width="50.42578125" style="291" bestFit="1" customWidth="1"/>
    <col min="11053" max="11053" width="20.7109375" style="291" bestFit="1" customWidth="1"/>
    <col min="11054" max="11265" width="11.42578125" style="291"/>
    <col min="11266" max="11266" width="18.85546875" style="291" customWidth="1"/>
    <col min="11267" max="11290" width="11.42578125" style="291"/>
    <col min="11291" max="11291" width="15.7109375" style="291" bestFit="1" customWidth="1"/>
    <col min="11292" max="11297" width="11.42578125" style="291"/>
    <col min="11298" max="11299" width="12.7109375" style="291" bestFit="1" customWidth="1"/>
    <col min="11300" max="11300" width="11.42578125" style="291"/>
    <col min="11301" max="11301" width="17.5703125" style="291" bestFit="1" customWidth="1"/>
    <col min="11302" max="11302" width="13" style="291" bestFit="1" customWidth="1"/>
    <col min="11303" max="11303" width="13" style="291" customWidth="1"/>
    <col min="11304" max="11307" width="11.42578125" style="291"/>
    <col min="11308" max="11308" width="50.42578125" style="291" bestFit="1" customWidth="1"/>
    <col min="11309" max="11309" width="20.7109375" style="291" bestFit="1" customWidth="1"/>
    <col min="11310" max="11521" width="11.42578125" style="291"/>
    <col min="11522" max="11522" width="18.85546875" style="291" customWidth="1"/>
    <col min="11523" max="11546" width="11.42578125" style="291"/>
    <col min="11547" max="11547" width="15.7109375" style="291" bestFit="1" customWidth="1"/>
    <col min="11548" max="11553" width="11.42578125" style="291"/>
    <col min="11554" max="11555" width="12.7109375" style="291" bestFit="1" customWidth="1"/>
    <col min="11556" max="11556" width="11.42578125" style="291"/>
    <col min="11557" max="11557" width="17.5703125" style="291" bestFit="1" customWidth="1"/>
    <col min="11558" max="11558" width="13" style="291" bestFit="1" customWidth="1"/>
    <col min="11559" max="11559" width="13" style="291" customWidth="1"/>
    <col min="11560" max="11563" width="11.42578125" style="291"/>
    <col min="11564" max="11564" width="50.42578125" style="291" bestFit="1" customWidth="1"/>
    <col min="11565" max="11565" width="20.7109375" style="291" bestFit="1" customWidth="1"/>
    <col min="11566" max="11777" width="11.42578125" style="291"/>
    <col min="11778" max="11778" width="18.85546875" style="291" customWidth="1"/>
    <col min="11779" max="11802" width="11.42578125" style="291"/>
    <col min="11803" max="11803" width="15.7109375" style="291" bestFit="1" customWidth="1"/>
    <col min="11804" max="11809" width="11.42578125" style="291"/>
    <col min="11810" max="11811" width="12.7109375" style="291" bestFit="1" customWidth="1"/>
    <col min="11812" max="11812" width="11.42578125" style="291"/>
    <col min="11813" max="11813" width="17.5703125" style="291" bestFit="1" customWidth="1"/>
    <col min="11814" max="11814" width="13" style="291" bestFit="1" customWidth="1"/>
    <col min="11815" max="11815" width="13" style="291" customWidth="1"/>
    <col min="11816" max="11819" width="11.42578125" style="291"/>
    <col min="11820" max="11820" width="50.42578125" style="291" bestFit="1" customWidth="1"/>
    <col min="11821" max="11821" width="20.7109375" style="291" bestFit="1" customWidth="1"/>
    <col min="11822" max="12033" width="11.42578125" style="291"/>
    <col min="12034" max="12034" width="18.85546875" style="291" customWidth="1"/>
    <col min="12035" max="12058" width="11.42578125" style="291"/>
    <col min="12059" max="12059" width="15.7109375" style="291" bestFit="1" customWidth="1"/>
    <col min="12060" max="12065" width="11.42578125" style="291"/>
    <col min="12066" max="12067" width="12.7109375" style="291" bestFit="1" customWidth="1"/>
    <col min="12068" max="12068" width="11.42578125" style="291"/>
    <col min="12069" max="12069" width="17.5703125" style="291" bestFit="1" customWidth="1"/>
    <col min="12070" max="12070" width="13" style="291" bestFit="1" customWidth="1"/>
    <col min="12071" max="12071" width="13" style="291" customWidth="1"/>
    <col min="12072" max="12075" width="11.42578125" style="291"/>
    <col min="12076" max="12076" width="50.42578125" style="291" bestFit="1" customWidth="1"/>
    <col min="12077" max="12077" width="20.7109375" style="291" bestFit="1" customWidth="1"/>
    <col min="12078" max="12289" width="11.42578125" style="291"/>
    <col min="12290" max="12290" width="18.85546875" style="291" customWidth="1"/>
    <col min="12291" max="12314" width="11.42578125" style="291"/>
    <col min="12315" max="12315" width="15.7109375" style="291" bestFit="1" customWidth="1"/>
    <col min="12316" max="12321" width="11.42578125" style="291"/>
    <col min="12322" max="12323" width="12.7109375" style="291" bestFit="1" customWidth="1"/>
    <col min="12324" max="12324" width="11.42578125" style="291"/>
    <col min="12325" max="12325" width="17.5703125" style="291" bestFit="1" customWidth="1"/>
    <col min="12326" max="12326" width="13" style="291" bestFit="1" customWidth="1"/>
    <col min="12327" max="12327" width="13" style="291" customWidth="1"/>
    <col min="12328" max="12331" width="11.42578125" style="291"/>
    <col min="12332" max="12332" width="50.42578125" style="291" bestFit="1" customWidth="1"/>
    <col min="12333" max="12333" width="20.7109375" style="291" bestFit="1" customWidth="1"/>
    <col min="12334" max="12545" width="11.42578125" style="291"/>
    <col min="12546" max="12546" width="18.85546875" style="291" customWidth="1"/>
    <col min="12547" max="12570" width="11.42578125" style="291"/>
    <col min="12571" max="12571" width="15.7109375" style="291" bestFit="1" customWidth="1"/>
    <col min="12572" max="12577" width="11.42578125" style="291"/>
    <col min="12578" max="12579" width="12.7109375" style="291" bestFit="1" customWidth="1"/>
    <col min="12580" max="12580" width="11.42578125" style="291"/>
    <col min="12581" max="12581" width="17.5703125" style="291" bestFit="1" customWidth="1"/>
    <col min="12582" max="12582" width="13" style="291" bestFit="1" customWidth="1"/>
    <col min="12583" max="12583" width="13" style="291" customWidth="1"/>
    <col min="12584" max="12587" width="11.42578125" style="291"/>
    <col min="12588" max="12588" width="50.42578125" style="291" bestFit="1" customWidth="1"/>
    <col min="12589" max="12589" width="20.7109375" style="291" bestFit="1" customWidth="1"/>
    <col min="12590" max="12801" width="11.42578125" style="291"/>
    <col min="12802" max="12802" width="18.85546875" style="291" customWidth="1"/>
    <col min="12803" max="12826" width="11.42578125" style="291"/>
    <col min="12827" max="12827" width="15.7109375" style="291" bestFit="1" customWidth="1"/>
    <col min="12828" max="12833" width="11.42578125" style="291"/>
    <col min="12834" max="12835" width="12.7109375" style="291" bestFit="1" customWidth="1"/>
    <col min="12836" max="12836" width="11.42578125" style="291"/>
    <col min="12837" max="12837" width="17.5703125" style="291" bestFit="1" customWidth="1"/>
    <col min="12838" max="12838" width="13" style="291" bestFit="1" customWidth="1"/>
    <col min="12839" max="12839" width="13" style="291" customWidth="1"/>
    <col min="12840" max="12843" width="11.42578125" style="291"/>
    <col min="12844" max="12844" width="50.42578125" style="291" bestFit="1" customWidth="1"/>
    <col min="12845" max="12845" width="20.7109375" style="291" bestFit="1" customWidth="1"/>
    <col min="12846" max="13057" width="11.42578125" style="291"/>
    <col min="13058" max="13058" width="18.85546875" style="291" customWidth="1"/>
    <col min="13059" max="13082" width="11.42578125" style="291"/>
    <col min="13083" max="13083" width="15.7109375" style="291" bestFit="1" customWidth="1"/>
    <col min="13084" max="13089" width="11.42578125" style="291"/>
    <col min="13090" max="13091" width="12.7109375" style="291" bestFit="1" customWidth="1"/>
    <col min="13092" max="13092" width="11.42578125" style="291"/>
    <col min="13093" max="13093" width="17.5703125" style="291" bestFit="1" customWidth="1"/>
    <col min="13094" max="13094" width="13" style="291" bestFit="1" customWidth="1"/>
    <col min="13095" max="13095" width="13" style="291" customWidth="1"/>
    <col min="13096" max="13099" width="11.42578125" style="291"/>
    <col min="13100" max="13100" width="50.42578125" style="291" bestFit="1" customWidth="1"/>
    <col min="13101" max="13101" width="20.7109375" style="291" bestFit="1" customWidth="1"/>
    <col min="13102" max="13313" width="11.42578125" style="291"/>
    <col min="13314" max="13314" width="18.85546875" style="291" customWidth="1"/>
    <col min="13315" max="13338" width="11.42578125" style="291"/>
    <col min="13339" max="13339" width="15.7109375" style="291" bestFit="1" customWidth="1"/>
    <col min="13340" max="13345" width="11.42578125" style="291"/>
    <col min="13346" max="13347" width="12.7109375" style="291" bestFit="1" customWidth="1"/>
    <col min="13348" max="13348" width="11.42578125" style="291"/>
    <col min="13349" max="13349" width="17.5703125" style="291" bestFit="1" customWidth="1"/>
    <col min="13350" max="13350" width="13" style="291" bestFit="1" customWidth="1"/>
    <col min="13351" max="13351" width="13" style="291" customWidth="1"/>
    <col min="13352" max="13355" width="11.42578125" style="291"/>
    <col min="13356" max="13356" width="50.42578125" style="291" bestFit="1" customWidth="1"/>
    <col min="13357" max="13357" width="20.7109375" style="291" bestFit="1" customWidth="1"/>
    <col min="13358" max="13569" width="11.42578125" style="291"/>
    <col min="13570" max="13570" width="18.85546875" style="291" customWidth="1"/>
    <col min="13571" max="13594" width="11.42578125" style="291"/>
    <col min="13595" max="13595" width="15.7109375" style="291" bestFit="1" customWidth="1"/>
    <col min="13596" max="13601" width="11.42578125" style="291"/>
    <col min="13602" max="13603" width="12.7109375" style="291" bestFit="1" customWidth="1"/>
    <col min="13604" max="13604" width="11.42578125" style="291"/>
    <col min="13605" max="13605" width="17.5703125" style="291" bestFit="1" customWidth="1"/>
    <col min="13606" max="13606" width="13" style="291" bestFit="1" customWidth="1"/>
    <col min="13607" max="13607" width="13" style="291" customWidth="1"/>
    <col min="13608" max="13611" width="11.42578125" style="291"/>
    <col min="13612" max="13612" width="50.42578125" style="291" bestFit="1" customWidth="1"/>
    <col min="13613" max="13613" width="20.7109375" style="291" bestFit="1" customWidth="1"/>
    <col min="13614" max="13825" width="11.42578125" style="291"/>
    <col min="13826" max="13826" width="18.85546875" style="291" customWidth="1"/>
    <col min="13827" max="13850" width="11.42578125" style="291"/>
    <col min="13851" max="13851" width="15.7109375" style="291" bestFit="1" customWidth="1"/>
    <col min="13852" max="13857" width="11.42578125" style="291"/>
    <col min="13858" max="13859" width="12.7109375" style="291" bestFit="1" customWidth="1"/>
    <col min="13860" max="13860" width="11.42578125" style="291"/>
    <col min="13861" max="13861" width="17.5703125" style="291" bestFit="1" customWidth="1"/>
    <col min="13862" max="13862" width="13" style="291" bestFit="1" customWidth="1"/>
    <col min="13863" max="13863" width="13" style="291" customWidth="1"/>
    <col min="13864" max="13867" width="11.42578125" style="291"/>
    <col min="13868" max="13868" width="50.42578125" style="291" bestFit="1" customWidth="1"/>
    <col min="13869" max="13869" width="20.7109375" style="291" bestFit="1" customWidth="1"/>
    <col min="13870" max="14081" width="11.42578125" style="291"/>
    <col min="14082" max="14082" width="18.85546875" style="291" customWidth="1"/>
    <col min="14083" max="14106" width="11.42578125" style="291"/>
    <col min="14107" max="14107" width="15.7109375" style="291" bestFit="1" customWidth="1"/>
    <col min="14108" max="14113" width="11.42578125" style="291"/>
    <col min="14114" max="14115" width="12.7109375" style="291" bestFit="1" customWidth="1"/>
    <col min="14116" max="14116" width="11.42578125" style="291"/>
    <col min="14117" max="14117" width="17.5703125" style="291" bestFit="1" customWidth="1"/>
    <col min="14118" max="14118" width="13" style="291" bestFit="1" customWidth="1"/>
    <col min="14119" max="14119" width="13" style="291" customWidth="1"/>
    <col min="14120" max="14123" width="11.42578125" style="291"/>
    <col min="14124" max="14124" width="50.42578125" style="291" bestFit="1" customWidth="1"/>
    <col min="14125" max="14125" width="20.7109375" style="291" bestFit="1" customWidth="1"/>
    <col min="14126" max="14337" width="11.42578125" style="291"/>
    <col min="14338" max="14338" width="18.85546875" style="291" customWidth="1"/>
    <col min="14339" max="14362" width="11.42578125" style="291"/>
    <col min="14363" max="14363" width="15.7109375" style="291" bestFit="1" customWidth="1"/>
    <col min="14364" max="14369" width="11.42578125" style="291"/>
    <col min="14370" max="14371" width="12.7109375" style="291" bestFit="1" customWidth="1"/>
    <col min="14372" max="14372" width="11.42578125" style="291"/>
    <col min="14373" max="14373" width="17.5703125" style="291" bestFit="1" customWidth="1"/>
    <col min="14374" max="14374" width="13" style="291" bestFit="1" customWidth="1"/>
    <col min="14375" max="14375" width="13" style="291" customWidth="1"/>
    <col min="14376" max="14379" width="11.42578125" style="291"/>
    <col min="14380" max="14380" width="50.42578125" style="291" bestFit="1" customWidth="1"/>
    <col min="14381" max="14381" width="20.7109375" style="291" bestFit="1" customWidth="1"/>
    <col min="14382" max="14593" width="11.42578125" style="291"/>
    <col min="14594" max="14594" width="18.85546875" style="291" customWidth="1"/>
    <col min="14595" max="14618" width="11.42578125" style="291"/>
    <col min="14619" max="14619" width="15.7109375" style="291" bestFit="1" customWidth="1"/>
    <col min="14620" max="14625" width="11.42578125" style="291"/>
    <col min="14626" max="14627" width="12.7109375" style="291" bestFit="1" customWidth="1"/>
    <col min="14628" max="14628" width="11.42578125" style="291"/>
    <col min="14629" max="14629" width="17.5703125" style="291" bestFit="1" customWidth="1"/>
    <col min="14630" max="14630" width="13" style="291" bestFit="1" customWidth="1"/>
    <col min="14631" max="14631" width="13" style="291" customWidth="1"/>
    <col min="14632" max="14635" width="11.42578125" style="291"/>
    <col min="14636" max="14636" width="50.42578125" style="291" bestFit="1" customWidth="1"/>
    <col min="14637" max="14637" width="20.7109375" style="291" bestFit="1" customWidth="1"/>
    <col min="14638" max="14849" width="11.42578125" style="291"/>
    <col min="14850" max="14850" width="18.85546875" style="291" customWidth="1"/>
    <col min="14851" max="14874" width="11.42578125" style="291"/>
    <col min="14875" max="14875" width="15.7109375" style="291" bestFit="1" customWidth="1"/>
    <col min="14876" max="14881" width="11.42578125" style="291"/>
    <col min="14882" max="14883" width="12.7109375" style="291" bestFit="1" customWidth="1"/>
    <col min="14884" max="14884" width="11.42578125" style="291"/>
    <col min="14885" max="14885" width="17.5703125" style="291" bestFit="1" customWidth="1"/>
    <col min="14886" max="14886" width="13" style="291" bestFit="1" customWidth="1"/>
    <col min="14887" max="14887" width="13" style="291" customWidth="1"/>
    <col min="14888" max="14891" width="11.42578125" style="291"/>
    <col min="14892" max="14892" width="50.42578125" style="291" bestFit="1" customWidth="1"/>
    <col min="14893" max="14893" width="20.7109375" style="291" bestFit="1" customWidth="1"/>
    <col min="14894" max="15105" width="11.42578125" style="291"/>
    <col min="15106" max="15106" width="18.85546875" style="291" customWidth="1"/>
    <col min="15107" max="15130" width="11.42578125" style="291"/>
    <col min="15131" max="15131" width="15.7109375" style="291" bestFit="1" customWidth="1"/>
    <col min="15132" max="15137" width="11.42578125" style="291"/>
    <col min="15138" max="15139" width="12.7109375" style="291" bestFit="1" customWidth="1"/>
    <col min="15140" max="15140" width="11.42578125" style="291"/>
    <col min="15141" max="15141" width="17.5703125" style="291" bestFit="1" customWidth="1"/>
    <col min="15142" max="15142" width="13" style="291" bestFit="1" customWidth="1"/>
    <col min="15143" max="15143" width="13" style="291" customWidth="1"/>
    <col min="15144" max="15147" width="11.42578125" style="291"/>
    <col min="15148" max="15148" width="50.42578125" style="291" bestFit="1" customWidth="1"/>
    <col min="15149" max="15149" width="20.7109375" style="291" bestFit="1" customWidth="1"/>
    <col min="15150" max="15361" width="11.42578125" style="291"/>
    <col min="15362" max="15362" width="18.85546875" style="291" customWidth="1"/>
    <col min="15363" max="15386" width="11.42578125" style="291"/>
    <col min="15387" max="15387" width="15.7109375" style="291" bestFit="1" customWidth="1"/>
    <col min="15388" max="15393" width="11.42578125" style="291"/>
    <col min="15394" max="15395" width="12.7109375" style="291" bestFit="1" customWidth="1"/>
    <col min="15396" max="15396" width="11.42578125" style="291"/>
    <col min="15397" max="15397" width="17.5703125" style="291" bestFit="1" customWidth="1"/>
    <col min="15398" max="15398" width="13" style="291" bestFit="1" customWidth="1"/>
    <col min="15399" max="15399" width="13" style="291" customWidth="1"/>
    <col min="15400" max="15403" width="11.42578125" style="291"/>
    <col min="15404" max="15404" width="50.42578125" style="291" bestFit="1" customWidth="1"/>
    <col min="15405" max="15405" width="20.7109375" style="291" bestFit="1" customWidth="1"/>
    <col min="15406" max="15617" width="11.42578125" style="291"/>
    <col min="15618" max="15618" width="18.85546875" style="291" customWidth="1"/>
    <col min="15619" max="15642" width="11.42578125" style="291"/>
    <col min="15643" max="15643" width="15.7109375" style="291" bestFit="1" customWidth="1"/>
    <col min="15644" max="15649" width="11.42578125" style="291"/>
    <col min="15650" max="15651" width="12.7109375" style="291" bestFit="1" customWidth="1"/>
    <col min="15652" max="15652" width="11.42578125" style="291"/>
    <col min="15653" max="15653" width="17.5703125" style="291" bestFit="1" customWidth="1"/>
    <col min="15654" max="15654" width="13" style="291" bestFit="1" customWidth="1"/>
    <col min="15655" max="15655" width="13" style="291" customWidth="1"/>
    <col min="15656" max="15659" width="11.42578125" style="291"/>
    <col min="15660" max="15660" width="50.42578125" style="291" bestFit="1" customWidth="1"/>
    <col min="15661" max="15661" width="20.7109375" style="291" bestFit="1" customWidth="1"/>
    <col min="15662" max="15873" width="11.42578125" style="291"/>
    <col min="15874" max="15874" width="18.85546875" style="291" customWidth="1"/>
    <col min="15875" max="15898" width="11.42578125" style="291"/>
    <col min="15899" max="15899" width="15.7109375" style="291" bestFit="1" customWidth="1"/>
    <col min="15900" max="15905" width="11.42578125" style="291"/>
    <col min="15906" max="15907" width="12.7109375" style="291" bestFit="1" customWidth="1"/>
    <col min="15908" max="15908" width="11.42578125" style="291"/>
    <col min="15909" max="15909" width="17.5703125" style="291" bestFit="1" customWidth="1"/>
    <col min="15910" max="15910" width="13" style="291" bestFit="1" customWidth="1"/>
    <col min="15911" max="15911" width="13" style="291" customWidth="1"/>
    <col min="15912" max="15915" width="11.42578125" style="291"/>
    <col min="15916" max="15916" width="50.42578125" style="291" bestFit="1" customWidth="1"/>
    <col min="15917" max="15917" width="20.7109375" style="291" bestFit="1" customWidth="1"/>
    <col min="15918" max="16129" width="11.42578125" style="291"/>
    <col min="16130" max="16130" width="18.85546875" style="291" customWidth="1"/>
    <col min="16131" max="16154" width="11.42578125" style="291"/>
    <col min="16155" max="16155" width="15.7109375" style="291" bestFit="1" customWidth="1"/>
    <col min="16156" max="16161" width="11.42578125" style="291"/>
    <col min="16162" max="16163" width="12.7109375" style="291" bestFit="1" customWidth="1"/>
    <col min="16164" max="16164" width="11.42578125" style="291"/>
    <col min="16165" max="16165" width="17.5703125" style="291" bestFit="1" customWidth="1"/>
    <col min="16166" max="16166" width="13" style="291" bestFit="1" customWidth="1"/>
    <col min="16167" max="16167" width="13" style="291" customWidth="1"/>
    <col min="16168" max="16171" width="11.42578125" style="291"/>
    <col min="16172" max="16172" width="50.42578125" style="291" bestFit="1" customWidth="1"/>
    <col min="16173" max="16173" width="20.7109375" style="291" bestFit="1" customWidth="1"/>
    <col min="16174" max="16384" width="11.42578125" style="291"/>
  </cols>
  <sheetData>
    <row r="2" spans="2:56"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441"/>
      <c r="AM2" s="441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</row>
    <row r="3" spans="2:56"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441"/>
      <c r="AM3" s="441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</row>
    <row r="4" spans="2:56" ht="15.75">
      <c r="E4" s="442"/>
      <c r="U4" s="345"/>
      <c r="V4" s="345"/>
      <c r="W4" s="345"/>
      <c r="X4" s="345"/>
      <c r="Y4" s="34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441"/>
      <c r="AM4" s="441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</row>
    <row r="5" spans="2:56">
      <c r="B5" s="564" t="s">
        <v>561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U5" s="345"/>
      <c r="V5" s="345"/>
      <c r="W5" s="345"/>
      <c r="X5" s="345"/>
      <c r="Y5" s="34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441"/>
      <c r="AM5" s="441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</row>
    <row r="6" spans="2:56">
      <c r="U6" s="345"/>
      <c r="V6" s="345"/>
      <c r="W6" s="345"/>
      <c r="X6" s="345"/>
      <c r="Y6" s="345"/>
      <c r="Z6" s="385"/>
      <c r="AA6" s="385"/>
      <c r="AB6" s="385"/>
      <c r="AC6" s="385"/>
      <c r="AD6" s="385"/>
      <c r="AE6" s="386"/>
      <c r="AF6" s="385"/>
      <c r="AG6" s="385" t="s">
        <v>562</v>
      </c>
      <c r="AH6" s="385">
        <v>2016</v>
      </c>
      <c r="AI6" s="385">
        <v>2017</v>
      </c>
      <c r="AJ6" s="385"/>
      <c r="AK6" s="472" t="s">
        <v>563</v>
      </c>
      <c r="AL6" s="473" t="s">
        <v>564</v>
      </c>
      <c r="AM6" s="441" t="s">
        <v>565</v>
      </c>
      <c r="AN6" s="385"/>
      <c r="AO6" s="385">
        <v>2016</v>
      </c>
      <c r="AP6" s="385">
        <v>2017</v>
      </c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</row>
    <row r="7" spans="2:56">
      <c r="B7" s="564" t="s">
        <v>566</v>
      </c>
      <c r="C7" s="564"/>
      <c r="D7" s="564"/>
      <c r="E7" s="564"/>
      <c r="U7" s="345"/>
      <c r="V7" s="345"/>
      <c r="W7" s="349"/>
      <c r="X7" s="349"/>
      <c r="Y7" s="349"/>
      <c r="Z7" s="387"/>
      <c r="AA7" s="387"/>
      <c r="AB7" s="387"/>
      <c r="AC7" s="387"/>
      <c r="AD7" s="387"/>
      <c r="AE7" s="387"/>
      <c r="AF7" s="385"/>
      <c r="AG7" s="385" t="s">
        <v>567</v>
      </c>
      <c r="AH7" s="441">
        <f>SUM(W7:Z7)</f>
        <v>0</v>
      </c>
      <c r="AI7" s="441">
        <f>SUM(AA7:AD7)</f>
        <v>0</v>
      </c>
      <c r="AJ7" s="385"/>
      <c r="AK7" s="443" t="s">
        <v>60</v>
      </c>
      <c r="AL7" s="441">
        <v>230381904.03</v>
      </c>
      <c r="AM7" s="441">
        <v>212942294.64000002</v>
      </c>
      <c r="AN7" s="385"/>
      <c r="AO7" s="385">
        <v>230381</v>
      </c>
      <c r="AP7" s="385">
        <v>212942</v>
      </c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</row>
    <row r="8" spans="2:56">
      <c r="B8" s="564"/>
      <c r="C8" s="564"/>
      <c r="D8" s="564"/>
      <c r="E8" s="564"/>
      <c r="T8" s="345"/>
      <c r="U8" s="345"/>
      <c r="V8" s="345"/>
      <c r="W8" s="349"/>
      <c r="X8" s="349"/>
      <c r="Y8" s="349"/>
      <c r="Z8" s="387"/>
      <c r="AA8" s="387"/>
      <c r="AB8" s="387"/>
      <c r="AC8" s="387"/>
      <c r="AD8" s="387"/>
      <c r="AE8" s="387"/>
      <c r="AF8" s="385"/>
      <c r="AG8" s="385" t="s">
        <v>57</v>
      </c>
      <c r="AH8" s="441">
        <f t="shared" ref="AH8:AH30" si="0">SUM(W8:Z8)</f>
        <v>0</v>
      </c>
      <c r="AI8" s="441">
        <f>SUM(AA8:AD8)+BB39</f>
        <v>222000</v>
      </c>
      <c r="AJ8" s="385"/>
      <c r="AK8" s="443" t="s">
        <v>70</v>
      </c>
      <c r="AL8" s="441">
        <v>172386679.80000001</v>
      </c>
      <c r="AM8" s="441">
        <v>181400831.45000002</v>
      </c>
      <c r="AN8" s="385"/>
      <c r="AO8" s="385">
        <v>172386</v>
      </c>
      <c r="AP8" s="385">
        <v>181400</v>
      </c>
      <c r="AQ8" s="385"/>
      <c r="AR8" s="385"/>
      <c r="AS8" s="385"/>
      <c r="AT8" s="385"/>
      <c r="AU8" s="385"/>
      <c r="AV8" s="386"/>
      <c r="AW8" s="385"/>
      <c r="AX8" s="385"/>
      <c r="AY8" s="385"/>
      <c r="AZ8" s="385"/>
      <c r="BA8" s="385"/>
      <c r="BB8" s="385"/>
      <c r="BC8" s="385"/>
      <c r="BD8" s="385"/>
    </row>
    <row r="9" spans="2:56">
      <c r="B9" s="565" t="s">
        <v>568</v>
      </c>
      <c r="C9" s="565"/>
      <c r="D9" s="565"/>
      <c r="E9" s="565"/>
      <c r="T9" s="345"/>
      <c r="U9" s="345"/>
      <c r="V9" s="345"/>
      <c r="W9" s="349"/>
      <c r="X9" s="349"/>
      <c r="Y9" s="349"/>
      <c r="Z9" s="387"/>
      <c r="AA9" s="387"/>
      <c r="AB9" s="387"/>
      <c r="AC9" s="387"/>
      <c r="AD9" s="387"/>
      <c r="AE9" s="387"/>
      <c r="AF9" s="385"/>
      <c r="AG9" s="385" t="s">
        <v>218</v>
      </c>
      <c r="AH9" s="441">
        <f t="shared" si="0"/>
        <v>0</v>
      </c>
      <c r="AI9" s="441">
        <f>SUM(AA9:AD9)+BB43</f>
        <v>181296</v>
      </c>
      <c r="AJ9" s="385"/>
      <c r="AK9" s="443" t="s">
        <v>58</v>
      </c>
      <c r="AL9" s="441">
        <v>121480842.72999999</v>
      </c>
      <c r="AM9" s="441">
        <v>181035758.34999999</v>
      </c>
      <c r="AN9" s="387"/>
      <c r="AO9" s="387">
        <v>121480</v>
      </c>
      <c r="AP9" s="387">
        <v>181035</v>
      </c>
      <c r="AQ9" s="387"/>
      <c r="AR9" s="387"/>
      <c r="AS9" s="387"/>
      <c r="AT9" s="387"/>
      <c r="AU9" s="387"/>
      <c r="AV9" s="387"/>
      <c r="AW9" s="385"/>
      <c r="AX9" s="385"/>
      <c r="AY9" s="385"/>
      <c r="AZ9" s="385"/>
      <c r="BA9" s="385"/>
      <c r="BB9" s="385"/>
      <c r="BC9" s="385"/>
      <c r="BD9" s="385"/>
    </row>
    <row r="10" spans="2:56" ht="15.75" thickBot="1">
      <c r="C10" s="345"/>
      <c r="D10" s="345"/>
      <c r="E10" s="345"/>
      <c r="T10" s="345"/>
      <c r="U10" s="345"/>
      <c r="V10" s="345"/>
      <c r="W10" s="349"/>
      <c r="X10" s="349"/>
      <c r="Y10" s="349"/>
      <c r="Z10" s="387"/>
      <c r="AA10" s="387"/>
      <c r="AB10" s="387"/>
      <c r="AC10" s="387"/>
      <c r="AD10" s="387"/>
      <c r="AE10" s="387"/>
      <c r="AF10" s="385"/>
      <c r="AG10" s="385" t="s">
        <v>58</v>
      </c>
      <c r="AH10" s="441">
        <f>SUM(W10:Z10)+BB46</f>
        <v>2108</v>
      </c>
      <c r="AI10" s="441">
        <f t="shared" ref="AI10:AI30" si="1">SUM(AA10:AD10)</f>
        <v>0</v>
      </c>
      <c r="AJ10" s="385"/>
      <c r="AK10" s="443" t="s">
        <v>61</v>
      </c>
      <c r="AL10" s="441">
        <v>146574998</v>
      </c>
      <c r="AM10" s="441">
        <v>81680504</v>
      </c>
      <c r="AN10" s="387"/>
      <c r="AO10" s="387">
        <v>146574</v>
      </c>
      <c r="AP10" s="387">
        <v>81680</v>
      </c>
      <c r="AQ10" s="387"/>
      <c r="AR10" s="387"/>
      <c r="AS10" s="387"/>
      <c r="AT10" s="387"/>
      <c r="AU10" s="387"/>
      <c r="AV10" s="387"/>
      <c r="AW10" s="385"/>
      <c r="AX10" s="385"/>
      <c r="AY10" s="385"/>
      <c r="AZ10" s="385"/>
      <c r="BA10" s="385"/>
      <c r="BB10" s="385"/>
      <c r="BC10" s="385"/>
      <c r="BD10" s="385"/>
    </row>
    <row r="11" spans="2:56" ht="16.5" thickTop="1" thickBot="1">
      <c r="B11" s="444" t="s">
        <v>562</v>
      </c>
      <c r="C11" s="445">
        <v>2016</v>
      </c>
      <c r="D11" s="445">
        <v>2017</v>
      </c>
      <c r="E11" s="444" t="s">
        <v>569</v>
      </c>
      <c r="T11" s="345"/>
      <c r="U11" s="446"/>
      <c r="V11" s="345"/>
      <c r="W11" s="349"/>
      <c r="X11" s="349"/>
      <c r="Y11" s="349"/>
      <c r="Z11" s="387"/>
      <c r="AA11" s="387"/>
      <c r="AB11" s="387"/>
      <c r="AC11" s="387"/>
      <c r="AD11" s="387"/>
      <c r="AE11" s="387"/>
      <c r="AF11" s="385"/>
      <c r="AG11" s="385" t="s">
        <v>71</v>
      </c>
      <c r="AH11" s="441">
        <f t="shared" si="0"/>
        <v>0</v>
      </c>
      <c r="AI11" s="441">
        <f t="shared" si="1"/>
        <v>0</v>
      </c>
      <c r="AJ11" s="385"/>
      <c r="AK11" s="443" t="s">
        <v>66</v>
      </c>
      <c r="AL11" s="441">
        <v>72123923.810000002</v>
      </c>
      <c r="AM11" s="441">
        <v>76923640.320000008</v>
      </c>
      <c r="AN11" s="387"/>
      <c r="AO11" s="387">
        <v>72123</v>
      </c>
      <c r="AP11" s="387">
        <v>76923</v>
      </c>
      <c r="AQ11" s="387"/>
      <c r="AR11" s="387"/>
      <c r="AS11" s="387"/>
      <c r="AT11" s="387"/>
      <c r="AU11" s="387"/>
      <c r="AV11" s="387"/>
      <c r="AW11" s="385"/>
      <c r="AX11" s="385"/>
      <c r="AY11" s="385"/>
      <c r="AZ11" s="385"/>
      <c r="BA11" s="385"/>
      <c r="BB11" s="385"/>
      <c r="BC11" s="385"/>
      <c r="BD11" s="385"/>
    </row>
    <row r="12" spans="2:56" ht="16.5" thickTop="1" thickBot="1">
      <c r="B12" s="447" t="s">
        <v>60</v>
      </c>
      <c r="C12" s="373">
        <v>230381000</v>
      </c>
      <c r="D12" s="368">
        <v>212942000</v>
      </c>
      <c r="E12" s="448">
        <f>+D12/C12-1</f>
        <v>-7.5696346486906485E-2</v>
      </c>
      <c r="H12" s="447" t="s">
        <v>60</v>
      </c>
      <c r="I12" s="373">
        <v>212.94200000000001</v>
      </c>
      <c r="J12" s="368">
        <v>212942000</v>
      </c>
      <c r="K12" s="448">
        <f>+J12/I12-1</f>
        <v>999999</v>
      </c>
      <c r="T12" s="345"/>
      <c r="U12" s="345"/>
      <c r="V12" s="345"/>
      <c r="W12" s="349"/>
      <c r="X12" s="349"/>
      <c r="Y12" s="349"/>
      <c r="Z12" s="387"/>
      <c r="AA12" s="387"/>
      <c r="AB12" s="387"/>
      <c r="AC12" s="387"/>
      <c r="AD12" s="387"/>
      <c r="AE12" s="387"/>
      <c r="AF12" s="385"/>
      <c r="AG12" s="385" t="s">
        <v>64</v>
      </c>
      <c r="AH12" s="441">
        <f t="shared" si="0"/>
        <v>0</v>
      </c>
      <c r="AI12" s="441">
        <f t="shared" si="1"/>
        <v>0</v>
      </c>
      <c r="AJ12" s="385"/>
      <c r="AK12" s="443" t="s">
        <v>59</v>
      </c>
      <c r="AL12" s="441">
        <v>82623398.010000005</v>
      </c>
      <c r="AM12" s="441">
        <v>70367416.370000005</v>
      </c>
      <c r="AN12" s="387"/>
      <c r="AO12" s="387">
        <v>82623</v>
      </c>
      <c r="AP12" s="387">
        <v>70367</v>
      </c>
      <c r="AQ12" s="387"/>
      <c r="AR12" s="387"/>
      <c r="AS12" s="387"/>
      <c r="AT12" s="387"/>
      <c r="AU12" s="387"/>
      <c r="AV12" s="387"/>
      <c r="AW12" s="385"/>
      <c r="AX12" s="385"/>
      <c r="AY12" s="385"/>
      <c r="AZ12" s="385"/>
      <c r="BA12" s="385"/>
      <c r="BB12" s="385"/>
      <c r="BC12" s="385"/>
      <c r="BD12" s="385"/>
    </row>
    <row r="13" spans="2:56" ht="16.5" thickTop="1" thickBot="1">
      <c r="B13" s="449" t="s">
        <v>70</v>
      </c>
      <c r="C13" s="373">
        <v>172386000</v>
      </c>
      <c r="D13" s="368">
        <v>181400000</v>
      </c>
      <c r="E13" s="450">
        <f t="shared" ref="E13:E36" si="2">+D13/C13-1</f>
        <v>5.2289629088209111E-2</v>
      </c>
      <c r="G13" s="368"/>
      <c r="H13" s="449" t="s">
        <v>70</v>
      </c>
      <c r="I13" s="373">
        <v>181.4</v>
      </c>
      <c r="J13" s="368">
        <v>181400000</v>
      </c>
      <c r="K13" s="450">
        <f t="shared" ref="K13:K26" si="3">+J13/I13-1</f>
        <v>999999</v>
      </c>
      <c r="T13" s="345"/>
      <c r="U13" s="345"/>
      <c r="V13" s="345"/>
      <c r="W13" s="349"/>
      <c r="X13" s="349"/>
      <c r="Y13" s="349"/>
      <c r="Z13" s="387"/>
      <c r="AA13" s="387"/>
      <c r="AB13" s="387"/>
      <c r="AC13" s="387"/>
      <c r="AD13" s="387"/>
      <c r="AE13" s="387"/>
      <c r="AF13" s="385"/>
      <c r="AG13" s="385" t="s">
        <v>570</v>
      </c>
      <c r="AH13" s="441">
        <f t="shared" si="0"/>
        <v>0</v>
      </c>
      <c r="AI13" s="441">
        <f t="shared" si="1"/>
        <v>0</v>
      </c>
      <c r="AJ13" s="385"/>
      <c r="AK13" s="443" t="s">
        <v>57</v>
      </c>
      <c r="AL13" s="441">
        <v>82428448.530000016</v>
      </c>
      <c r="AM13" s="441">
        <v>65898895.209999993</v>
      </c>
      <c r="AN13" s="387"/>
      <c r="AO13" s="387">
        <v>82428</v>
      </c>
      <c r="AP13" s="387">
        <v>65898</v>
      </c>
      <c r="AQ13" s="387"/>
      <c r="AR13" s="387"/>
      <c r="AS13" s="387"/>
      <c r="AT13" s="387"/>
      <c r="AU13" s="387"/>
      <c r="AV13" s="387"/>
      <c r="AW13" s="385"/>
      <c r="AX13" s="385"/>
      <c r="AY13" s="385"/>
      <c r="AZ13" s="385"/>
      <c r="BA13" s="385"/>
      <c r="BB13" s="385"/>
      <c r="BC13" s="385"/>
      <c r="BD13" s="385"/>
    </row>
    <row r="14" spans="2:56" ht="16.5" thickTop="1" thickBot="1">
      <c r="B14" s="449" t="s">
        <v>58</v>
      </c>
      <c r="C14" s="349">
        <v>121480000</v>
      </c>
      <c r="D14" s="368">
        <v>181035000</v>
      </c>
      <c r="E14" s="450">
        <f t="shared" si="2"/>
        <v>0.49024530786960807</v>
      </c>
      <c r="G14" s="368"/>
      <c r="H14" s="449" t="s">
        <v>58</v>
      </c>
      <c r="I14" s="373">
        <v>181.035</v>
      </c>
      <c r="J14" s="368">
        <v>181035000</v>
      </c>
      <c r="K14" s="450">
        <f t="shared" si="3"/>
        <v>999999</v>
      </c>
      <c r="T14" s="345"/>
      <c r="U14" s="345"/>
      <c r="V14" s="345"/>
      <c r="W14" s="349"/>
      <c r="X14" s="349"/>
      <c r="Y14" s="349"/>
      <c r="Z14" s="387"/>
      <c r="AA14" s="387"/>
      <c r="AB14" s="387"/>
      <c r="AC14" s="387"/>
      <c r="AD14" s="387"/>
      <c r="AE14" s="387"/>
      <c r="AF14" s="385"/>
      <c r="AG14" s="385" t="s">
        <v>60</v>
      </c>
      <c r="AH14" s="441">
        <f t="shared" si="0"/>
        <v>0</v>
      </c>
      <c r="AI14" s="441">
        <f t="shared" si="1"/>
        <v>0</v>
      </c>
      <c r="AJ14" s="385"/>
      <c r="AK14" s="443" t="s">
        <v>64</v>
      </c>
      <c r="AL14" s="441">
        <v>62102080.980000004</v>
      </c>
      <c r="AM14" s="441">
        <v>61461044.659999996</v>
      </c>
      <c r="AN14" s="387"/>
      <c r="AO14" s="387">
        <v>62102</v>
      </c>
      <c r="AP14" s="387">
        <v>61461</v>
      </c>
      <c r="AQ14" s="387"/>
      <c r="AR14" s="387"/>
      <c r="AS14" s="387"/>
      <c r="AT14" s="387"/>
      <c r="AU14" s="387"/>
      <c r="AV14" s="387"/>
      <c r="AW14" s="385"/>
      <c r="AX14" s="385"/>
      <c r="AY14" s="385"/>
      <c r="AZ14" s="385"/>
      <c r="BA14" s="385"/>
      <c r="BB14" s="385"/>
      <c r="BC14" s="385"/>
      <c r="BD14" s="385"/>
    </row>
    <row r="15" spans="2:56" ht="16.5" thickTop="1" thickBot="1">
      <c r="B15" s="449" t="s">
        <v>61</v>
      </c>
      <c r="C15" s="349">
        <v>146574000</v>
      </c>
      <c r="D15" s="368">
        <v>81680000</v>
      </c>
      <c r="E15" s="451">
        <f t="shared" si="2"/>
        <v>-0.44273882134621423</v>
      </c>
      <c r="G15" s="368"/>
      <c r="H15" s="449" t="s">
        <v>61</v>
      </c>
      <c r="I15" s="373">
        <v>81.680000000000007</v>
      </c>
      <c r="J15" s="368">
        <v>81680000</v>
      </c>
      <c r="K15" s="451">
        <f t="shared" si="3"/>
        <v>999998.99999999988</v>
      </c>
      <c r="T15" s="345"/>
      <c r="U15" s="345"/>
      <c r="V15" s="345"/>
      <c r="W15" s="349"/>
      <c r="X15" s="349"/>
      <c r="Y15" s="349"/>
      <c r="Z15" s="387"/>
      <c r="AA15" s="387"/>
      <c r="AB15" s="387"/>
      <c r="AC15" s="387"/>
      <c r="AD15" s="387"/>
      <c r="AE15" s="387"/>
      <c r="AF15" s="385"/>
      <c r="AG15" s="385" t="s">
        <v>67</v>
      </c>
      <c r="AH15" s="441">
        <f t="shared" si="0"/>
        <v>0</v>
      </c>
      <c r="AI15" s="441">
        <f t="shared" si="1"/>
        <v>0</v>
      </c>
      <c r="AJ15" s="385"/>
      <c r="AK15" s="443" t="s">
        <v>65</v>
      </c>
      <c r="AL15" s="441">
        <v>57963798.750000007</v>
      </c>
      <c r="AM15" s="441">
        <v>56320907.359999999</v>
      </c>
      <c r="AN15" s="388"/>
      <c r="AO15" s="388">
        <v>57963</v>
      </c>
      <c r="AP15" s="388">
        <v>56320</v>
      </c>
      <c r="AQ15" s="388"/>
      <c r="AR15" s="388"/>
      <c r="AS15" s="388"/>
      <c r="AT15" s="388"/>
      <c r="AU15" s="388"/>
      <c r="AV15" s="387"/>
      <c r="AW15" s="385"/>
      <c r="AX15" s="385"/>
      <c r="AY15" s="385"/>
      <c r="AZ15" s="385"/>
      <c r="BA15" s="385"/>
      <c r="BB15" s="385"/>
      <c r="BC15" s="385"/>
      <c r="BD15" s="385"/>
    </row>
    <row r="16" spans="2:56" ht="16.5" thickTop="1" thickBot="1">
      <c r="B16" s="449" t="s">
        <v>66</v>
      </c>
      <c r="C16" s="349">
        <v>72123000</v>
      </c>
      <c r="D16" s="368">
        <v>76923000</v>
      </c>
      <c r="E16" s="450">
        <f t="shared" si="2"/>
        <v>6.6552972006156175E-2</v>
      </c>
      <c r="G16" s="368"/>
      <c r="H16" s="449" t="s">
        <v>66</v>
      </c>
      <c r="I16" s="373">
        <v>76.923000000000002</v>
      </c>
      <c r="J16" s="368">
        <v>76923000</v>
      </c>
      <c r="K16" s="450">
        <f t="shared" si="3"/>
        <v>999999</v>
      </c>
      <c r="T16" s="345"/>
      <c r="U16" s="345"/>
      <c r="V16" s="345"/>
      <c r="W16" s="349"/>
      <c r="X16" s="349"/>
      <c r="Y16" s="349"/>
      <c r="Z16" s="387"/>
      <c r="AA16" s="387"/>
      <c r="AB16" s="387"/>
      <c r="AC16" s="387"/>
      <c r="AD16" s="387"/>
      <c r="AE16" s="387"/>
      <c r="AF16" s="385"/>
      <c r="AG16" s="385" t="s">
        <v>69</v>
      </c>
      <c r="AH16" s="441">
        <f t="shared" si="0"/>
        <v>0</v>
      </c>
      <c r="AI16" s="441">
        <f t="shared" si="1"/>
        <v>0</v>
      </c>
      <c r="AJ16" s="385"/>
      <c r="AK16" s="443" t="s">
        <v>218</v>
      </c>
      <c r="AL16" s="441">
        <v>133176616.96000001</v>
      </c>
      <c r="AM16" s="441">
        <v>43235309.009999998</v>
      </c>
      <c r="AN16" s="385"/>
      <c r="AO16" s="387">
        <v>133176</v>
      </c>
      <c r="AP16" s="385">
        <v>43235</v>
      </c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</row>
    <row r="17" spans="2:56" ht="16.5" thickTop="1" thickBot="1">
      <c r="B17" s="449" t="s">
        <v>59</v>
      </c>
      <c r="C17" s="349">
        <v>82623000</v>
      </c>
      <c r="D17" s="368">
        <v>70367000</v>
      </c>
      <c r="E17" s="451">
        <f t="shared" si="2"/>
        <v>-0.14833641964102007</v>
      </c>
      <c r="G17" s="368"/>
      <c r="H17" s="449" t="s">
        <v>59</v>
      </c>
      <c r="I17" s="373">
        <v>70.367000000000004</v>
      </c>
      <c r="J17" s="368">
        <v>70367000</v>
      </c>
      <c r="K17" s="451">
        <f t="shared" si="3"/>
        <v>999998.99999999988</v>
      </c>
      <c r="T17" s="345"/>
      <c r="U17" s="345"/>
      <c r="V17" s="345"/>
      <c r="W17" s="349"/>
      <c r="X17" s="349"/>
      <c r="Y17" s="349"/>
      <c r="Z17" s="387"/>
      <c r="AA17" s="387"/>
      <c r="AB17" s="387"/>
      <c r="AC17" s="387"/>
      <c r="AD17" s="387"/>
      <c r="AE17" s="387"/>
      <c r="AF17" s="385"/>
      <c r="AG17" s="385" t="s">
        <v>63</v>
      </c>
      <c r="AH17" s="441">
        <f t="shared" si="0"/>
        <v>0</v>
      </c>
      <c r="AI17" s="441">
        <f t="shared" si="1"/>
        <v>0</v>
      </c>
      <c r="AJ17" s="385"/>
      <c r="AK17" s="443" t="s">
        <v>62</v>
      </c>
      <c r="AL17" s="441">
        <v>34573146.819999993</v>
      </c>
      <c r="AM17" s="441">
        <v>41710391.689999998</v>
      </c>
      <c r="AN17" s="385"/>
      <c r="AO17" s="387">
        <v>34573</v>
      </c>
      <c r="AP17" s="385">
        <v>41710</v>
      </c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</row>
    <row r="18" spans="2:56" ht="16.5" thickTop="1" thickBot="1">
      <c r="B18" s="449" t="s">
        <v>57</v>
      </c>
      <c r="C18" s="349">
        <v>82428000</v>
      </c>
      <c r="D18" s="368">
        <v>65898000</v>
      </c>
      <c r="E18" s="448">
        <f t="shared" si="2"/>
        <v>-0.20053865191439801</v>
      </c>
      <c r="G18" s="368"/>
      <c r="H18" s="449" t="s">
        <v>57</v>
      </c>
      <c r="I18" s="373">
        <v>65.897999999999996</v>
      </c>
      <c r="J18" s="368">
        <v>65898000</v>
      </c>
      <c r="K18" s="448">
        <f t="shared" si="3"/>
        <v>999999.00000000012</v>
      </c>
      <c r="T18" s="345"/>
      <c r="U18" s="345"/>
      <c r="V18" s="345"/>
      <c r="W18" s="349"/>
      <c r="X18" s="349"/>
      <c r="Y18" s="349"/>
      <c r="Z18" s="387"/>
      <c r="AA18" s="387"/>
      <c r="AB18" s="387"/>
      <c r="AC18" s="387"/>
      <c r="AD18" s="387"/>
      <c r="AE18" s="387"/>
      <c r="AF18" s="385"/>
      <c r="AG18" s="385" t="s">
        <v>66</v>
      </c>
      <c r="AH18" s="441">
        <f t="shared" si="0"/>
        <v>0</v>
      </c>
      <c r="AI18" s="441">
        <f t="shared" si="1"/>
        <v>0</v>
      </c>
      <c r="AJ18" s="385"/>
      <c r="AK18" s="443" t="s">
        <v>63</v>
      </c>
      <c r="AL18" s="441">
        <v>55866103.280000001</v>
      </c>
      <c r="AM18" s="441">
        <v>30357902.030000001</v>
      </c>
      <c r="AN18" s="385"/>
      <c r="AO18" s="387">
        <v>55866</v>
      </c>
      <c r="AP18" s="385">
        <v>30357</v>
      </c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</row>
    <row r="19" spans="2:56" ht="16.5" thickTop="1" thickBot="1">
      <c r="B19" s="449" t="s">
        <v>64</v>
      </c>
      <c r="C19" s="349">
        <v>62102000</v>
      </c>
      <c r="D19" s="368">
        <v>61461000</v>
      </c>
      <c r="E19" s="448">
        <f t="shared" si="2"/>
        <v>-1.0321728768799665E-2</v>
      </c>
      <c r="G19" s="368"/>
      <c r="H19" s="449" t="s">
        <v>64</v>
      </c>
      <c r="I19" s="373">
        <v>61.460999999999999</v>
      </c>
      <c r="J19" s="368">
        <v>61461000</v>
      </c>
      <c r="K19" s="448">
        <f t="shared" si="3"/>
        <v>999999</v>
      </c>
      <c r="T19" s="345"/>
      <c r="U19" s="345"/>
      <c r="V19" s="345"/>
      <c r="W19" s="349"/>
      <c r="X19" s="349"/>
      <c r="Y19" s="349"/>
      <c r="Z19" s="387"/>
      <c r="AA19" s="387"/>
      <c r="AB19" s="387"/>
      <c r="AC19" s="387"/>
      <c r="AD19" s="387"/>
      <c r="AE19" s="387"/>
      <c r="AF19" s="385"/>
      <c r="AG19" s="385" t="s">
        <v>70</v>
      </c>
      <c r="AH19" s="441">
        <f t="shared" si="0"/>
        <v>0</v>
      </c>
      <c r="AI19" s="441">
        <f>SUM(AA19:AD19)+BB41</f>
        <v>59496</v>
      </c>
      <c r="AJ19" s="385"/>
      <c r="AK19" s="443" t="s">
        <v>68</v>
      </c>
      <c r="AL19" s="441">
        <v>29521641.870000001</v>
      </c>
      <c r="AM19" s="441">
        <v>26985337.789999995</v>
      </c>
      <c r="AN19" s="385"/>
      <c r="AO19" s="387">
        <v>29521</v>
      </c>
      <c r="AP19" s="385">
        <v>26985</v>
      </c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</row>
    <row r="20" spans="2:56" ht="16.5" thickTop="1" thickBot="1">
      <c r="B20" s="449" t="s">
        <v>65</v>
      </c>
      <c r="C20" s="355">
        <v>57963000</v>
      </c>
      <c r="D20" s="368">
        <v>56320000</v>
      </c>
      <c r="E20" s="448">
        <f t="shared" si="2"/>
        <v>-2.8345668788710032E-2</v>
      </c>
      <c r="G20" s="368"/>
      <c r="H20" s="449" t="s">
        <v>65</v>
      </c>
      <c r="I20" s="373">
        <v>56.32</v>
      </c>
      <c r="J20" s="368">
        <v>56320000</v>
      </c>
      <c r="K20" s="448">
        <f t="shared" si="3"/>
        <v>999999</v>
      </c>
      <c r="T20" s="345"/>
      <c r="U20" s="345"/>
      <c r="V20" s="345"/>
      <c r="W20" s="349"/>
      <c r="X20" s="349"/>
      <c r="Y20" s="349"/>
      <c r="Z20" s="387"/>
      <c r="AA20" s="387"/>
      <c r="AB20" s="387"/>
      <c r="AC20" s="387"/>
      <c r="AD20" s="387"/>
      <c r="AE20" s="387"/>
      <c r="AF20" s="385"/>
      <c r="AG20" s="385" t="s">
        <v>571</v>
      </c>
      <c r="AH20" s="441">
        <f t="shared" si="0"/>
        <v>0</v>
      </c>
      <c r="AI20" s="441">
        <f t="shared" si="1"/>
        <v>0</v>
      </c>
      <c r="AJ20" s="385"/>
      <c r="AK20" s="443" t="s">
        <v>71</v>
      </c>
      <c r="AL20" s="441">
        <v>19788560.940000001</v>
      </c>
      <c r="AM20" s="441">
        <v>20088273.289999999</v>
      </c>
      <c r="AN20" s="385"/>
      <c r="AO20" s="387">
        <v>19788</v>
      </c>
      <c r="AP20" s="385">
        <v>20088</v>
      </c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</row>
    <row r="21" spans="2:56" ht="16.5" thickTop="1" thickBot="1">
      <c r="B21" s="449" t="s">
        <v>218</v>
      </c>
      <c r="C21" s="452">
        <v>133176000</v>
      </c>
      <c r="D21" s="368">
        <v>43235000</v>
      </c>
      <c r="E21" s="448">
        <f t="shared" si="2"/>
        <v>-0.67535441821349185</v>
      </c>
      <c r="G21" s="368"/>
      <c r="H21" s="449" t="s">
        <v>218</v>
      </c>
      <c r="I21" s="373">
        <v>43.234999999999999</v>
      </c>
      <c r="J21" s="368">
        <v>43235000</v>
      </c>
      <c r="K21" s="448">
        <f t="shared" si="3"/>
        <v>999999</v>
      </c>
      <c r="T21" s="345"/>
      <c r="U21" s="345"/>
      <c r="V21" s="345"/>
      <c r="W21" s="349"/>
      <c r="X21" s="349"/>
      <c r="Y21" s="349"/>
      <c r="Z21" s="387"/>
      <c r="AA21" s="387"/>
      <c r="AB21" s="387"/>
      <c r="AC21" s="387"/>
      <c r="AD21" s="387"/>
      <c r="AE21" s="387"/>
      <c r="AF21" s="385"/>
      <c r="AG21" s="385" t="s">
        <v>65</v>
      </c>
      <c r="AH21" s="441">
        <f t="shared" si="0"/>
        <v>0</v>
      </c>
      <c r="AI21" s="441">
        <f t="shared" si="1"/>
        <v>0</v>
      </c>
      <c r="AJ21" s="385"/>
      <c r="AK21" s="443" t="s">
        <v>67</v>
      </c>
      <c r="AL21" s="441">
        <v>12180663.550000001</v>
      </c>
      <c r="AM21" s="441">
        <v>12706725.57</v>
      </c>
      <c r="AN21" s="385"/>
      <c r="AO21" s="387">
        <v>12180</v>
      </c>
      <c r="AP21" s="385">
        <v>12706</v>
      </c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</row>
    <row r="22" spans="2:56" ht="16.5" thickTop="1" thickBot="1">
      <c r="B22" s="449" t="s">
        <v>62</v>
      </c>
      <c r="C22" s="452">
        <v>34573000</v>
      </c>
      <c r="D22" s="368">
        <v>41710000</v>
      </c>
      <c r="E22" s="450">
        <f t="shared" si="2"/>
        <v>0.20643276545280997</v>
      </c>
      <c r="G22" s="368"/>
      <c r="H22" s="449" t="s">
        <v>62</v>
      </c>
      <c r="I22" s="373">
        <v>41.71</v>
      </c>
      <c r="J22" s="368">
        <v>41710000</v>
      </c>
      <c r="K22" s="450">
        <f t="shared" si="3"/>
        <v>999999</v>
      </c>
      <c r="T22" s="345"/>
      <c r="U22" s="345"/>
      <c r="V22" s="345"/>
      <c r="W22" s="349"/>
      <c r="X22" s="349"/>
      <c r="Y22" s="349"/>
      <c r="Z22" s="387"/>
      <c r="AA22" s="387"/>
      <c r="AB22" s="387"/>
      <c r="AC22" s="387"/>
      <c r="AD22" s="387"/>
      <c r="AE22" s="387"/>
      <c r="AF22" s="385"/>
      <c r="AG22" s="385" t="s">
        <v>572</v>
      </c>
      <c r="AH22" s="441">
        <f t="shared" si="0"/>
        <v>0</v>
      </c>
      <c r="AI22" s="441">
        <f t="shared" si="1"/>
        <v>0</v>
      </c>
      <c r="AJ22" s="385"/>
      <c r="AK22" s="443" t="s">
        <v>69</v>
      </c>
      <c r="AL22" s="441">
        <v>8343334.9199999999</v>
      </c>
      <c r="AM22" s="441">
        <v>7365838.0899999999</v>
      </c>
      <c r="AN22" s="385"/>
      <c r="AO22" s="387">
        <v>8343</v>
      </c>
      <c r="AP22" s="385">
        <v>7365</v>
      </c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</row>
    <row r="23" spans="2:56" ht="16.5" thickTop="1" thickBot="1">
      <c r="B23" s="449" t="s">
        <v>63</v>
      </c>
      <c r="C23" s="452">
        <v>55866000</v>
      </c>
      <c r="D23" s="368">
        <v>30357000</v>
      </c>
      <c r="E23" s="448">
        <f t="shared" si="2"/>
        <v>-0.45661046074535494</v>
      </c>
      <c r="G23" s="368"/>
      <c r="H23" s="449" t="s">
        <v>63</v>
      </c>
      <c r="I23" s="373">
        <v>30.356999999999999</v>
      </c>
      <c r="J23" s="368">
        <v>30357000</v>
      </c>
      <c r="K23" s="448">
        <f t="shared" si="3"/>
        <v>999999</v>
      </c>
      <c r="T23" s="345"/>
      <c r="U23" s="345"/>
      <c r="V23" s="345"/>
      <c r="W23" s="349"/>
      <c r="X23" s="349"/>
      <c r="Y23" s="349"/>
      <c r="Z23" s="387"/>
      <c r="AA23" s="387"/>
      <c r="AB23" s="387"/>
      <c r="AC23" s="387"/>
      <c r="AD23" s="387"/>
      <c r="AE23" s="387"/>
      <c r="AF23" s="385"/>
      <c r="AG23" s="385" t="s">
        <v>46</v>
      </c>
      <c r="AH23" s="441">
        <f t="shared" si="0"/>
        <v>0</v>
      </c>
      <c r="AI23" s="441">
        <f t="shared" si="1"/>
        <v>0</v>
      </c>
      <c r="AJ23" s="385"/>
      <c r="AK23" s="443" t="s">
        <v>357</v>
      </c>
      <c r="AL23" s="441">
        <v>6636069.3500000006</v>
      </c>
      <c r="AM23" s="441">
        <v>5944932.4399999995</v>
      </c>
      <c r="AN23" s="385"/>
      <c r="AO23" s="387">
        <v>6636</v>
      </c>
      <c r="AP23" s="385">
        <v>5944</v>
      </c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</row>
    <row r="24" spans="2:56" ht="16.5" thickTop="1" thickBot="1">
      <c r="B24" s="449" t="s">
        <v>68</v>
      </c>
      <c r="C24" s="452">
        <v>29521000</v>
      </c>
      <c r="D24" s="368">
        <v>26985000</v>
      </c>
      <c r="E24" s="448">
        <f t="shared" si="2"/>
        <v>-8.5904949019342203E-2</v>
      </c>
      <c r="G24" s="368"/>
      <c r="H24" s="449" t="s">
        <v>68</v>
      </c>
      <c r="I24" s="373">
        <v>26.984999999999999</v>
      </c>
      <c r="J24" s="368">
        <v>26985000</v>
      </c>
      <c r="K24" s="448">
        <f t="shared" si="3"/>
        <v>999999</v>
      </c>
      <c r="T24" s="345"/>
      <c r="U24" s="345"/>
      <c r="V24" s="345"/>
      <c r="W24" s="349"/>
      <c r="X24" s="349"/>
      <c r="Y24" s="349"/>
      <c r="Z24" s="387"/>
      <c r="AA24" s="387"/>
      <c r="AB24" s="387"/>
      <c r="AC24" s="387"/>
      <c r="AD24" s="387"/>
      <c r="AE24" s="387"/>
      <c r="AF24" s="385"/>
      <c r="AG24" s="385" t="s">
        <v>59</v>
      </c>
      <c r="AH24" s="441">
        <f t="shared" si="0"/>
        <v>0</v>
      </c>
      <c r="AI24" s="441">
        <f t="shared" si="1"/>
        <v>0</v>
      </c>
      <c r="AJ24" s="385"/>
      <c r="AK24" s="443" t="s">
        <v>46</v>
      </c>
      <c r="AL24" s="441">
        <v>2594515</v>
      </c>
      <c r="AM24" s="441">
        <v>2573430</v>
      </c>
      <c r="AN24" s="385"/>
      <c r="AO24" s="387">
        <v>2594</v>
      </c>
      <c r="AP24" s="385">
        <v>2573</v>
      </c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</row>
    <row r="25" spans="2:56" ht="16.5" thickTop="1" thickBot="1">
      <c r="B25" s="449" t="s">
        <v>71</v>
      </c>
      <c r="C25" s="452">
        <v>19788000</v>
      </c>
      <c r="D25" s="368">
        <v>20088000</v>
      </c>
      <c r="E25" s="450">
        <f t="shared" si="2"/>
        <v>1.5160703456640334E-2</v>
      </c>
      <c r="G25" s="368"/>
      <c r="H25" s="449" t="s">
        <v>71</v>
      </c>
      <c r="I25" s="373">
        <v>20.088000000000001</v>
      </c>
      <c r="J25" s="368">
        <v>20088000</v>
      </c>
      <c r="K25" s="450">
        <f t="shared" si="3"/>
        <v>999999</v>
      </c>
      <c r="T25" s="345"/>
      <c r="U25" s="345"/>
      <c r="V25" s="345"/>
      <c r="W25" s="349"/>
      <c r="X25" s="349"/>
      <c r="Y25" s="349"/>
      <c r="Z25" s="387"/>
      <c r="AA25" s="387"/>
      <c r="AB25" s="387"/>
      <c r="AC25" s="387"/>
      <c r="AD25" s="387"/>
      <c r="AE25" s="387"/>
      <c r="AF25" s="385"/>
      <c r="AG25" s="385" t="s">
        <v>62</v>
      </c>
      <c r="AH25" s="441">
        <f t="shared" si="0"/>
        <v>0</v>
      </c>
      <c r="AI25" s="441">
        <f t="shared" si="1"/>
        <v>0</v>
      </c>
      <c r="AJ25" s="385"/>
      <c r="AK25" s="443" t="s">
        <v>571</v>
      </c>
      <c r="AL25" s="441">
        <v>280900</v>
      </c>
      <c r="AM25" s="441">
        <v>404625.18</v>
      </c>
      <c r="AN25" s="385"/>
      <c r="AO25" s="387">
        <v>280</v>
      </c>
      <c r="AP25" s="385">
        <v>404</v>
      </c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</row>
    <row r="26" spans="2:56" ht="16.5" thickTop="1" thickBot="1">
      <c r="B26" s="449" t="s">
        <v>67</v>
      </c>
      <c r="C26" s="452">
        <v>12180000</v>
      </c>
      <c r="D26" s="368">
        <v>12706000</v>
      </c>
      <c r="E26" s="450">
        <f t="shared" si="2"/>
        <v>4.3185550082101898E-2</v>
      </c>
      <c r="G26" s="368"/>
      <c r="H26" s="449" t="s">
        <v>67</v>
      </c>
      <c r="I26" s="373">
        <v>12.706</v>
      </c>
      <c r="J26" s="368">
        <v>12706000</v>
      </c>
      <c r="K26" s="450">
        <f t="shared" si="3"/>
        <v>999999</v>
      </c>
      <c r="T26" s="345"/>
      <c r="U26" s="345"/>
      <c r="V26" s="345"/>
      <c r="W26" s="349"/>
      <c r="X26" s="349"/>
      <c r="Y26" s="349"/>
      <c r="Z26" s="387"/>
      <c r="AA26" s="387"/>
      <c r="AB26" s="387"/>
      <c r="AC26" s="387"/>
      <c r="AD26" s="387"/>
      <c r="AE26" s="387"/>
      <c r="AF26" s="385"/>
      <c r="AG26" s="385" t="s">
        <v>357</v>
      </c>
      <c r="AH26" s="441">
        <f t="shared" si="0"/>
        <v>0</v>
      </c>
      <c r="AI26" s="441">
        <f t="shared" si="1"/>
        <v>0</v>
      </c>
      <c r="AJ26" s="385"/>
      <c r="AK26" s="443" t="s">
        <v>567</v>
      </c>
      <c r="AL26" s="441">
        <v>220658</v>
      </c>
      <c r="AM26" s="441">
        <v>168221</v>
      </c>
      <c r="AN26" s="385"/>
      <c r="AO26" s="387">
        <v>220</v>
      </c>
      <c r="AP26" s="385">
        <v>168</v>
      </c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</row>
    <row r="27" spans="2:56" ht="16.5" thickTop="1" thickBot="1">
      <c r="B27" s="449" t="s">
        <v>69</v>
      </c>
      <c r="C27" s="452">
        <v>8343000</v>
      </c>
      <c r="D27" s="368">
        <v>7365000</v>
      </c>
      <c r="E27" s="448">
        <f t="shared" si="2"/>
        <v>-0.11722402013664146</v>
      </c>
      <c r="G27" s="368"/>
      <c r="H27" s="540" t="s">
        <v>43</v>
      </c>
      <c r="I27" s="368">
        <f>SUM(I29:I37)</f>
        <v>16.716000000000001</v>
      </c>
      <c r="J27" s="368">
        <v>7365000</v>
      </c>
      <c r="K27" s="448">
        <f t="shared" ref="K27:K33" si="4">+J27/I29-1</f>
        <v>999999</v>
      </c>
      <c r="T27" s="345"/>
      <c r="U27" s="345"/>
      <c r="V27" s="345"/>
      <c r="W27" s="349"/>
      <c r="X27" s="349"/>
      <c r="Y27" s="349"/>
      <c r="Z27" s="387"/>
      <c r="AA27" s="387"/>
      <c r="AB27" s="387"/>
      <c r="AC27" s="387"/>
      <c r="AD27" s="387"/>
      <c r="AE27" s="387"/>
      <c r="AF27" s="385"/>
      <c r="AG27" s="385" t="s">
        <v>68</v>
      </c>
      <c r="AH27" s="441">
        <f t="shared" si="0"/>
        <v>0</v>
      </c>
      <c r="AI27" s="441">
        <f t="shared" si="1"/>
        <v>0</v>
      </c>
      <c r="AJ27" s="385"/>
      <c r="AK27" s="443" t="s">
        <v>570</v>
      </c>
      <c r="AL27" s="441">
        <v>332500</v>
      </c>
      <c r="AM27" s="441">
        <v>128000</v>
      </c>
      <c r="AN27" s="385"/>
      <c r="AO27" s="387">
        <v>332</v>
      </c>
      <c r="AP27" s="385">
        <v>128</v>
      </c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</row>
    <row r="28" spans="2:56" ht="16.5" thickTop="1" thickBot="1">
      <c r="B28" s="449" t="s">
        <v>357</v>
      </c>
      <c r="C28" s="452">
        <v>6636000</v>
      </c>
      <c r="D28" s="368">
        <v>5944000</v>
      </c>
      <c r="E28" s="448">
        <f t="shared" si="2"/>
        <v>-0.10427968655816755</v>
      </c>
      <c r="G28" s="368"/>
      <c r="J28" s="368">
        <v>5944000</v>
      </c>
      <c r="K28" s="448">
        <f t="shared" si="4"/>
        <v>999999</v>
      </c>
      <c r="T28" s="345"/>
      <c r="U28" s="345"/>
      <c r="V28" s="345"/>
      <c r="W28" s="349"/>
      <c r="X28" s="349"/>
      <c r="Y28" s="349"/>
      <c r="Z28" s="387"/>
      <c r="AA28" s="387"/>
      <c r="AB28" s="387"/>
      <c r="AC28" s="387"/>
      <c r="AD28" s="387"/>
      <c r="AE28" s="387"/>
      <c r="AF28" s="385"/>
      <c r="AG28" s="385" t="s">
        <v>573</v>
      </c>
      <c r="AH28" s="441">
        <f t="shared" si="0"/>
        <v>0</v>
      </c>
      <c r="AI28" s="441">
        <f t="shared" si="1"/>
        <v>0</v>
      </c>
      <c r="AJ28" s="385"/>
      <c r="AK28" s="443" t="s">
        <v>572</v>
      </c>
      <c r="AL28" s="441">
        <v>91000</v>
      </c>
      <c r="AM28" s="441">
        <v>97550</v>
      </c>
      <c r="AN28" s="385"/>
      <c r="AO28" s="387">
        <v>91</v>
      </c>
      <c r="AP28" s="385">
        <v>97</v>
      </c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85"/>
      <c r="BB28" s="385"/>
      <c r="BC28" s="385"/>
      <c r="BD28" s="385"/>
    </row>
    <row r="29" spans="2:56" ht="16.5" thickTop="1" thickBot="1">
      <c r="B29" s="449" t="s">
        <v>46</v>
      </c>
      <c r="C29" s="452">
        <v>2594000</v>
      </c>
      <c r="D29" s="368">
        <v>2573000</v>
      </c>
      <c r="E29" s="448">
        <f t="shared" si="2"/>
        <v>-8.0956052428681202E-3</v>
      </c>
      <c r="G29" s="368"/>
      <c r="H29" s="449" t="s">
        <v>69</v>
      </c>
      <c r="I29" s="373">
        <v>7.3650000000000002</v>
      </c>
      <c r="J29" s="368">
        <v>2573000</v>
      </c>
      <c r="K29" s="448">
        <f t="shared" si="4"/>
        <v>999999</v>
      </c>
      <c r="T29" s="345"/>
      <c r="U29" s="345"/>
      <c r="V29" s="345"/>
      <c r="W29" s="349"/>
      <c r="X29" s="349"/>
      <c r="Y29" s="349"/>
      <c r="Z29" s="387"/>
      <c r="AA29" s="387"/>
      <c r="AB29" s="387"/>
      <c r="AC29" s="387"/>
      <c r="AD29" s="387"/>
      <c r="AE29" s="387"/>
      <c r="AF29" s="385"/>
      <c r="AG29" s="385" t="s">
        <v>61</v>
      </c>
      <c r="AH29" s="441">
        <f t="shared" si="0"/>
        <v>0</v>
      </c>
      <c r="AI29" s="441">
        <f t="shared" si="1"/>
        <v>0</v>
      </c>
      <c r="AJ29" s="385"/>
      <c r="AK29" s="443" t="s">
        <v>573</v>
      </c>
      <c r="AL29" s="441">
        <v>12233.73</v>
      </c>
      <c r="AM29" s="441">
        <v>21509.040000000001</v>
      </c>
      <c r="AN29" s="385"/>
      <c r="AO29" s="387">
        <v>12</v>
      </c>
      <c r="AP29" s="385">
        <v>21</v>
      </c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</row>
    <row r="30" spans="2:56" ht="16.5" thickTop="1" thickBot="1">
      <c r="B30" s="449" t="s">
        <v>571</v>
      </c>
      <c r="C30" s="452">
        <v>280000</v>
      </c>
      <c r="D30" s="368">
        <v>404000</v>
      </c>
      <c r="E30" s="450">
        <f t="shared" si="2"/>
        <v>0.44285714285714284</v>
      </c>
      <c r="G30" s="368"/>
      <c r="H30" s="449" t="s">
        <v>357</v>
      </c>
      <c r="I30" s="373">
        <v>5.944</v>
      </c>
      <c r="J30" s="368">
        <v>404000</v>
      </c>
      <c r="K30" s="450">
        <f t="shared" si="4"/>
        <v>999998.99999999988</v>
      </c>
      <c r="T30" s="345"/>
      <c r="U30" s="345"/>
      <c r="V30" s="345"/>
      <c r="W30" s="349"/>
      <c r="X30" s="349"/>
      <c r="Y30" s="349"/>
      <c r="Z30" s="387"/>
      <c r="AA30" s="387"/>
      <c r="AB30" s="387"/>
      <c r="AC30" s="387"/>
      <c r="AD30" s="387"/>
      <c r="AE30" s="387"/>
      <c r="AF30" s="385"/>
      <c r="AG30" s="385" t="s">
        <v>574</v>
      </c>
      <c r="AH30" s="441">
        <f t="shared" si="0"/>
        <v>0</v>
      </c>
      <c r="AI30" s="441">
        <f t="shared" si="1"/>
        <v>0</v>
      </c>
      <c r="AJ30" s="385"/>
      <c r="AK30" s="443" t="s">
        <v>574</v>
      </c>
      <c r="AL30" s="441">
        <v>0</v>
      </c>
      <c r="AM30" s="441">
        <v>16000</v>
      </c>
      <c r="AN30" s="385"/>
      <c r="AO30" s="387">
        <v>0</v>
      </c>
      <c r="AP30" s="385">
        <v>16</v>
      </c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5"/>
      <c r="BB30" s="385"/>
      <c r="BC30" s="385"/>
      <c r="BD30" s="385"/>
    </row>
    <row r="31" spans="2:56" ht="16.5" thickTop="1" thickBot="1">
      <c r="B31" s="449" t="s">
        <v>567</v>
      </c>
      <c r="C31" s="452">
        <v>220000</v>
      </c>
      <c r="D31" s="368">
        <v>168000</v>
      </c>
      <c r="E31" s="448">
        <f t="shared" si="2"/>
        <v>-0.23636363636363633</v>
      </c>
      <c r="G31" s="368"/>
      <c r="H31" s="449" t="s">
        <v>46</v>
      </c>
      <c r="I31" s="373">
        <v>2.573</v>
      </c>
      <c r="J31" s="368">
        <v>168000</v>
      </c>
      <c r="K31" s="448">
        <f t="shared" si="4"/>
        <v>999998.99999999988</v>
      </c>
      <c r="T31" s="345"/>
      <c r="U31" s="345"/>
      <c r="V31" s="345"/>
      <c r="W31" s="355"/>
      <c r="X31" s="355"/>
      <c r="Y31" s="355"/>
      <c r="Z31" s="388"/>
      <c r="AA31" s="388"/>
      <c r="AB31" s="388"/>
      <c r="AC31" s="388"/>
      <c r="AD31" s="388"/>
      <c r="AE31" s="387"/>
      <c r="AF31" s="385"/>
      <c r="AG31" s="385"/>
      <c r="AH31" s="385"/>
      <c r="AI31" s="385"/>
      <c r="AJ31" s="385"/>
      <c r="AK31" s="443" t="s">
        <v>419</v>
      </c>
      <c r="AL31" s="441">
        <v>1331684019.0599997</v>
      </c>
      <c r="AM31" s="441">
        <v>1179835337.49</v>
      </c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</row>
    <row r="32" spans="2:56" ht="16.5" thickTop="1" thickBot="1">
      <c r="B32" s="449" t="s">
        <v>570</v>
      </c>
      <c r="C32" s="452">
        <v>332000</v>
      </c>
      <c r="D32" s="368">
        <v>128000</v>
      </c>
      <c r="E32" s="448">
        <f t="shared" si="2"/>
        <v>-0.61445783132530118</v>
      </c>
      <c r="G32" s="368"/>
      <c r="H32" s="449" t="s">
        <v>571</v>
      </c>
      <c r="I32" s="373">
        <v>0.40400000000000003</v>
      </c>
      <c r="J32" s="368">
        <v>128000</v>
      </c>
      <c r="K32" s="448">
        <f t="shared" si="4"/>
        <v>999999</v>
      </c>
      <c r="T32" s="345"/>
      <c r="U32" s="345"/>
      <c r="V32" s="345"/>
      <c r="W32" s="345"/>
      <c r="X32" s="345"/>
      <c r="Y32" s="345"/>
      <c r="Z32" s="385"/>
      <c r="AA32" s="385"/>
      <c r="AB32" s="385"/>
      <c r="AC32" s="385"/>
      <c r="AD32" s="385"/>
      <c r="AE32" s="385"/>
      <c r="AF32" s="385"/>
      <c r="AG32" s="385" t="s">
        <v>113</v>
      </c>
      <c r="AH32" s="441">
        <f>SUM(AH7:AH30)</f>
        <v>2108</v>
      </c>
      <c r="AI32" s="441">
        <f>SUM(AI7:AI30)</f>
        <v>462792</v>
      </c>
      <c r="AJ32" s="385"/>
      <c r="AK32" s="385"/>
      <c r="AL32" s="441"/>
      <c r="AM32" s="441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</row>
    <row r="33" spans="2:56" ht="16.5" thickTop="1" thickBot="1">
      <c r="B33" s="449" t="s">
        <v>572</v>
      </c>
      <c r="C33" s="452">
        <v>91000</v>
      </c>
      <c r="D33" s="368">
        <v>97000</v>
      </c>
      <c r="E33" s="450">
        <f t="shared" si="2"/>
        <v>6.5934065934065922E-2</v>
      </c>
      <c r="G33" s="368"/>
      <c r="H33" s="449" t="s">
        <v>567</v>
      </c>
      <c r="I33" s="373">
        <v>0.16800000000000001</v>
      </c>
      <c r="J33" s="368">
        <v>97000</v>
      </c>
      <c r="K33" s="450">
        <f t="shared" si="4"/>
        <v>999999</v>
      </c>
      <c r="T33" s="345"/>
      <c r="U33" s="345"/>
      <c r="V33" s="345"/>
      <c r="W33" s="349"/>
      <c r="X33" s="349"/>
      <c r="Y33" s="349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441"/>
      <c r="AM33" s="441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</row>
    <row r="34" spans="2:56" ht="16.5" thickTop="1" thickBot="1">
      <c r="B34" s="449" t="s">
        <v>573</v>
      </c>
      <c r="C34" s="452">
        <v>12000</v>
      </c>
      <c r="D34" s="368">
        <v>21000</v>
      </c>
      <c r="E34" s="450" t="s">
        <v>159</v>
      </c>
      <c r="G34" s="368"/>
      <c r="H34" s="449" t="s">
        <v>570</v>
      </c>
      <c r="I34" s="373">
        <v>0.128</v>
      </c>
      <c r="J34" s="368">
        <v>21000</v>
      </c>
      <c r="K34" s="450" t="s">
        <v>159</v>
      </c>
      <c r="T34" s="345"/>
      <c r="U34" s="345"/>
      <c r="V34" s="347"/>
      <c r="W34" s="349"/>
      <c r="X34" s="349"/>
      <c r="Y34" s="349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441"/>
      <c r="AM34" s="441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</row>
    <row r="35" spans="2:56" ht="16.5" thickTop="1" thickBot="1">
      <c r="B35" s="449" t="s">
        <v>574</v>
      </c>
      <c r="C35" s="452">
        <v>0</v>
      </c>
      <c r="D35" s="368">
        <v>16000</v>
      </c>
      <c r="E35" s="450" t="s">
        <v>159</v>
      </c>
      <c r="G35" s="368"/>
      <c r="H35" s="449" t="s">
        <v>572</v>
      </c>
      <c r="I35" s="373">
        <v>9.7000000000000003E-2</v>
      </c>
      <c r="J35" s="368">
        <v>16000</v>
      </c>
      <c r="K35" s="450" t="s">
        <v>159</v>
      </c>
      <c r="T35" s="345"/>
      <c r="U35" s="34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441"/>
      <c r="AM35" s="441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</row>
    <row r="36" spans="2:56" ht="16.5" thickTop="1" thickBot="1">
      <c r="B36" s="453" t="s">
        <v>575</v>
      </c>
      <c r="C36" s="454">
        <v>1331672000</v>
      </c>
      <c r="D36" s="455">
        <v>1179823000</v>
      </c>
      <c r="E36" s="448">
        <f t="shared" si="2"/>
        <v>-0.11402882992208296</v>
      </c>
      <c r="G36" s="368"/>
      <c r="H36" s="449" t="s">
        <v>573</v>
      </c>
      <c r="I36" s="373">
        <v>2.1000000000000001E-2</v>
      </c>
      <c r="J36" s="455">
        <v>1179823000</v>
      </c>
      <c r="K36" s="448" t="e">
        <f>+J36/I38-1</f>
        <v>#DIV/0!</v>
      </c>
      <c r="L36" s="456"/>
      <c r="M36" s="456"/>
      <c r="T36" s="345"/>
      <c r="U36" s="345"/>
      <c r="V36" s="34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441"/>
      <c r="AM36" s="441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</row>
    <row r="37" spans="2:56" ht="16.5" thickTop="1" thickBot="1">
      <c r="B37" s="457" t="s">
        <v>576</v>
      </c>
      <c r="C37" s="458"/>
      <c r="D37" s="458"/>
      <c r="E37" s="458"/>
      <c r="F37" s="459"/>
      <c r="G37" s="368"/>
      <c r="H37" s="449" t="s">
        <v>574</v>
      </c>
      <c r="I37" s="373">
        <v>1.6E-2</v>
      </c>
      <c r="P37" s="562" t="s">
        <v>577</v>
      </c>
      <c r="Q37" s="562"/>
      <c r="R37" s="562"/>
      <c r="S37" s="562"/>
      <c r="T37" s="562"/>
      <c r="U37" s="562"/>
      <c r="V37" s="562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441"/>
      <c r="AM37" s="441"/>
      <c r="AN37" s="385"/>
      <c r="AO37" s="385"/>
      <c r="AP37" s="385"/>
      <c r="AQ37" s="385" t="s">
        <v>414</v>
      </c>
      <c r="AR37" s="385"/>
      <c r="AS37" s="385"/>
      <c r="AT37" s="385" t="s">
        <v>443</v>
      </c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</row>
    <row r="38" spans="2:56" ht="16.5" thickTop="1" thickBot="1">
      <c r="B38" s="566" t="s">
        <v>437</v>
      </c>
      <c r="C38" s="567"/>
      <c r="D38" s="567"/>
      <c r="E38" s="567"/>
      <c r="F38" s="460"/>
      <c r="G38" s="460"/>
      <c r="H38" s="453" t="s">
        <v>575</v>
      </c>
      <c r="I38" s="454"/>
      <c r="J38" s="460"/>
      <c r="K38" s="460"/>
      <c r="L38" s="460"/>
      <c r="M38" s="460"/>
      <c r="N38" s="460"/>
      <c r="P38" s="562"/>
      <c r="Q38" s="562"/>
      <c r="R38" s="562"/>
      <c r="S38" s="562"/>
      <c r="T38" s="562"/>
      <c r="U38" s="562"/>
      <c r="V38" s="562"/>
      <c r="Z38" s="385"/>
      <c r="AA38" s="385" t="s">
        <v>414</v>
      </c>
      <c r="AB38" s="385" t="s">
        <v>443</v>
      </c>
      <c r="AC38" s="385"/>
      <c r="AD38" s="385"/>
      <c r="AE38" s="385"/>
      <c r="AF38" s="385"/>
      <c r="AG38" s="385"/>
      <c r="AH38" s="385"/>
      <c r="AI38" s="385"/>
      <c r="AJ38" s="385"/>
      <c r="AK38" s="385"/>
      <c r="AL38" s="441"/>
      <c r="AM38" s="441"/>
      <c r="AN38" s="385"/>
      <c r="AO38" s="385"/>
      <c r="AP38" s="385"/>
      <c r="AQ38" s="385" t="s">
        <v>562</v>
      </c>
      <c r="AR38" s="385" t="s">
        <v>546</v>
      </c>
      <c r="AS38" s="385" t="s">
        <v>578</v>
      </c>
      <c r="AT38" s="385" t="s">
        <v>448</v>
      </c>
      <c r="AU38" s="385" t="s">
        <v>449</v>
      </c>
      <c r="AV38" s="385" t="s">
        <v>450</v>
      </c>
      <c r="AW38" s="385" t="s">
        <v>451</v>
      </c>
      <c r="AX38" s="385" t="s">
        <v>452</v>
      </c>
      <c r="AY38" s="385" t="s">
        <v>453</v>
      </c>
      <c r="AZ38" s="385" t="s">
        <v>454</v>
      </c>
      <c r="BA38" s="385" t="s">
        <v>455</v>
      </c>
      <c r="BB38" s="386" t="s">
        <v>419</v>
      </c>
      <c r="BC38" s="385"/>
      <c r="BD38" s="385"/>
    </row>
    <row r="39" spans="2:56" ht="15.75" thickTop="1">
      <c r="B39" s="384"/>
      <c r="C39" s="384"/>
      <c r="D39" s="384"/>
      <c r="E39" s="384"/>
      <c r="F39" s="461"/>
      <c r="G39" s="460"/>
      <c r="H39" s="462"/>
      <c r="I39" s="462"/>
      <c r="J39" s="462"/>
      <c r="K39" s="460"/>
      <c r="L39" s="460"/>
      <c r="Z39" s="385"/>
      <c r="AA39" s="385" t="s">
        <v>562</v>
      </c>
      <c r="AB39" s="385" t="s">
        <v>448</v>
      </c>
      <c r="AC39" s="385" t="s">
        <v>449</v>
      </c>
      <c r="AD39" s="385" t="s">
        <v>450</v>
      </c>
      <c r="AE39" s="385" t="s">
        <v>451</v>
      </c>
      <c r="AF39" s="385" t="s">
        <v>452</v>
      </c>
      <c r="AG39" s="385" t="s">
        <v>453</v>
      </c>
      <c r="AH39" s="385" t="s">
        <v>454</v>
      </c>
      <c r="AI39" s="385" t="s">
        <v>455</v>
      </c>
      <c r="AJ39" s="386" t="s">
        <v>419</v>
      </c>
      <c r="AK39" s="385"/>
      <c r="AL39" s="441" t="s">
        <v>562</v>
      </c>
      <c r="AM39" s="441">
        <v>2016</v>
      </c>
      <c r="AN39" s="385">
        <v>2017</v>
      </c>
      <c r="AO39" s="385"/>
      <c r="AP39" s="385"/>
      <c r="AQ39" s="385" t="s">
        <v>579</v>
      </c>
      <c r="AR39" s="385" t="s">
        <v>580</v>
      </c>
      <c r="AS39" s="385" t="s">
        <v>581</v>
      </c>
      <c r="AT39" s="387"/>
      <c r="AU39" s="387"/>
      <c r="AV39" s="387"/>
      <c r="AW39" s="387"/>
      <c r="AX39" s="387">
        <v>91000</v>
      </c>
      <c r="AY39" s="387">
        <v>43000</v>
      </c>
      <c r="AZ39" s="387">
        <v>43000</v>
      </c>
      <c r="BA39" s="387">
        <v>45000</v>
      </c>
      <c r="BB39" s="387">
        <v>222000</v>
      </c>
      <c r="BC39" s="385" t="s">
        <v>57</v>
      </c>
      <c r="BD39" s="385"/>
    </row>
    <row r="40" spans="2:56" ht="15.75">
      <c r="B40" s="562" t="s">
        <v>582</v>
      </c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463"/>
      <c r="Z40" s="385"/>
      <c r="AA40" s="385" t="s">
        <v>579</v>
      </c>
      <c r="AB40" s="387"/>
      <c r="AC40" s="387"/>
      <c r="AD40" s="387"/>
      <c r="AE40" s="387"/>
      <c r="AF40" s="387">
        <v>133032</v>
      </c>
      <c r="AG40" s="387">
        <v>96266</v>
      </c>
      <c r="AH40" s="387">
        <v>168634</v>
      </c>
      <c r="AI40" s="387">
        <v>64860</v>
      </c>
      <c r="AJ40" s="387">
        <v>462792</v>
      </c>
      <c r="AK40" s="385"/>
      <c r="AL40" s="441" t="s">
        <v>579</v>
      </c>
      <c r="AM40" s="441">
        <f>SUM(AB40:AE40)</f>
        <v>0</v>
      </c>
      <c r="AN40" s="441">
        <f>SUM(AF40:AI40)</f>
        <v>462792</v>
      </c>
      <c r="AO40" s="385"/>
      <c r="AP40" s="385"/>
      <c r="AQ40" s="385"/>
      <c r="AR40" s="385" t="s">
        <v>583</v>
      </c>
      <c r="AS40" s="385"/>
      <c r="AT40" s="387"/>
      <c r="AU40" s="387"/>
      <c r="AV40" s="387"/>
      <c r="AW40" s="387"/>
      <c r="AX40" s="387">
        <v>91000</v>
      </c>
      <c r="AY40" s="387">
        <v>43000</v>
      </c>
      <c r="AZ40" s="387">
        <v>43000</v>
      </c>
      <c r="BA40" s="387">
        <v>45000</v>
      </c>
      <c r="BB40" s="387">
        <v>222000</v>
      </c>
      <c r="BC40" s="385"/>
      <c r="BD40" s="385"/>
    </row>
    <row r="41" spans="2:56" ht="15.75"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463"/>
      <c r="O41" s="368"/>
      <c r="Z41" s="385"/>
      <c r="AA41" s="385" t="s">
        <v>230</v>
      </c>
      <c r="AB41" s="387">
        <v>526</v>
      </c>
      <c r="AC41" s="387">
        <v>526</v>
      </c>
      <c r="AD41" s="387">
        <v>530</v>
      </c>
      <c r="AE41" s="387">
        <v>526</v>
      </c>
      <c r="AF41" s="387"/>
      <c r="AG41" s="387"/>
      <c r="AH41" s="387"/>
      <c r="AI41" s="387"/>
      <c r="AJ41" s="387">
        <v>2108</v>
      </c>
      <c r="AK41" s="385"/>
      <c r="AL41" s="441" t="s">
        <v>230</v>
      </c>
      <c r="AM41" s="441">
        <f>SUM(AB41:AE41)</f>
        <v>2108</v>
      </c>
      <c r="AN41" s="441">
        <f>SUM(AF41:AI41)</f>
        <v>0</v>
      </c>
      <c r="AO41" s="385"/>
      <c r="AP41" s="385"/>
      <c r="AQ41" s="385"/>
      <c r="AR41" s="385" t="s">
        <v>584</v>
      </c>
      <c r="AS41" s="385" t="s">
        <v>585</v>
      </c>
      <c r="AT41" s="387"/>
      <c r="AU41" s="387"/>
      <c r="AV41" s="387"/>
      <c r="AW41" s="387"/>
      <c r="AX41" s="387"/>
      <c r="AY41" s="387"/>
      <c r="AZ41" s="387">
        <v>39636</v>
      </c>
      <c r="BA41" s="387">
        <v>19860</v>
      </c>
      <c r="BB41" s="387">
        <v>59496</v>
      </c>
      <c r="BC41" s="385" t="s">
        <v>70</v>
      </c>
      <c r="BD41" s="385"/>
    </row>
    <row r="42" spans="2:56" ht="15.75" thickBot="1"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O42" s="373"/>
      <c r="P42" s="464"/>
      <c r="Q42" s="373"/>
      <c r="Z42" s="385"/>
      <c r="AA42" s="385" t="s">
        <v>419</v>
      </c>
      <c r="AB42" s="388">
        <v>526</v>
      </c>
      <c r="AC42" s="388">
        <v>526</v>
      </c>
      <c r="AD42" s="388">
        <v>530</v>
      </c>
      <c r="AE42" s="388">
        <v>526</v>
      </c>
      <c r="AF42" s="388">
        <v>133032</v>
      </c>
      <c r="AG42" s="388">
        <v>96266</v>
      </c>
      <c r="AH42" s="388">
        <v>168634</v>
      </c>
      <c r="AI42" s="388">
        <v>64860</v>
      </c>
      <c r="AJ42" s="387">
        <v>464900</v>
      </c>
      <c r="AK42" s="385"/>
      <c r="AL42" s="441"/>
      <c r="AM42" s="441"/>
      <c r="AN42" s="385"/>
      <c r="AO42" s="385"/>
      <c r="AP42" s="385"/>
      <c r="AQ42" s="385"/>
      <c r="AR42" s="385" t="s">
        <v>586</v>
      </c>
      <c r="AS42" s="385"/>
      <c r="AT42" s="387"/>
      <c r="AU42" s="387"/>
      <c r="AV42" s="387"/>
      <c r="AW42" s="387"/>
      <c r="AX42" s="387"/>
      <c r="AY42" s="387"/>
      <c r="AZ42" s="387">
        <v>39636</v>
      </c>
      <c r="BA42" s="387">
        <v>19860</v>
      </c>
      <c r="BB42" s="387">
        <v>59496</v>
      </c>
      <c r="BC42" s="385"/>
      <c r="BD42" s="385"/>
    </row>
    <row r="43" spans="2:56" ht="16.5" thickTop="1" thickBot="1">
      <c r="B43" s="465" t="s">
        <v>587</v>
      </c>
      <c r="C43" s="466">
        <v>2007</v>
      </c>
      <c r="D43" s="466">
        <v>2008</v>
      </c>
      <c r="E43" s="466">
        <v>2009</v>
      </c>
      <c r="F43" s="466">
        <v>2010</v>
      </c>
      <c r="G43" s="466">
        <v>2011</v>
      </c>
      <c r="H43" s="466">
        <v>2012</v>
      </c>
      <c r="I43" s="466">
        <v>2013</v>
      </c>
      <c r="J43" s="466" t="s">
        <v>588</v>
      </c>
      <c r="K43" s="466" t="s">
        <v>426</v>
      </c>
      <c r="L43" s="466" t="s">
        <v>427</v>
      </c>
      <c r="M43" s="466" t="s">
        <v>428</v>
      </c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441"/>
      <c r="AM43" s="441"/>
      <c r="AN43" s="385"/>
      <c r="AO43" s="385"/>
      <c r="AP43" s="385"/>
      <c r="AQ43" s="385"/>
      <c r="AR43" s="385" t="s">
        <v>589</v>
      </c>
      <c r="AS43" s="385" t="s">
        <v>590</v>
      </c>
      <c r="AT43" s="387"/>
      <c r="AU43" s="387"/>
      <c r="AV43" s="387"/>
      <c r="AW43" s="387"/>
      <c r="AX43" s="387">
        <v>42032</v>
      </c>
      <c r="AY43" s="387">
        <v>53266</v>
      </c>
      <c r="AZ43" s="387">
        <v>85998</v>
      </c>
      <c r="BA43" s="387"/>
      <c r="BB43" s="387">
        <v>181296</v>
      </c>
      <c r="BC43" s="385" t="s">
        <v>218</v>
      </c>
      <c r="BD43" s="385"/>
    </row>
    <row r="44" spans="2:56" ht="16.5" thickTop="1" thickBot="1">
      <c r="B44" s="467" t="s">
        <v>591</v>
      </c>
      <c r="C44" s="468">
        <v>390</v>
      </c>
      <c r="D44" s="468">
        <v>516</v>
      </c>
      <c r="E44" s="468">
        <v>574</v>
      </c>
      <c r="F44" s="468">
        <v>1048</v>
      </c>
      <c r="G44" s="468">
        <v>1580</v>
      </c>
      <c r="H44" s="468">
        <v>2195</v>
      </c>
      <c r="I44" s="468">
        <v>2734</v>
      </c>
      <c r="J44" s="468">
        <v>2817</v>
      </c>
      <c r="K44" s="468">
        <v>2433</v>
      </c>
      <c r="L44" s="468">
        <f>+C36/1000</f>
        <v>1331672</v>
      </c>
      <c r="M44" s="468">
        <f>+D36/1000</f>
        <v>1179823</v>
      </c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441"/>
      <c r="AM44" s="441"/>
      <c r="AN44" s="385"/>
      <c r="AO44" s="385"/>
      <c r="AP44" s="385"/>
      <c r="AQ44" s="385"/>
      <c r="AR44" s="385" t="s">
        <v>592</v>
      </c>
      <c r="AS44" s="385"/>
      <c r="AT44" s="387"/>
      <c r="AU44" s="387"/>
      <c r="AV44" s="387"/>
      <c r="AW44" s="387"/>
      <c r="AX44" s="387">
        <v>42032</v>
      </c>
      <c r="AY44" s="387">
        <v>53266</v>
      </c>
      <c r="AZ44" s="387">
        <v>85998</v>
      </c>
      <c r="BA44" s="387"/>
      <c r="BB44" s="387">
        <v>181296</v>
      </c>
      <c r="BC44" s="385"/>
      <c r="BD44" s="385"/>
    </row>
    <row r="45" spans="2:56" ht="15.75" thickTop="1">
      <c r="B45" s="374" t="s">
        <v>593</v>
      </c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441"/>
      <c r="AM45" s="441"/>
      <c r="AN45" s="385"/>
      <c r="AO45" s="385"/>
      <c r="AP45" s="385"/>
      <c r="AQ45" s="385" t="s">
        <v>594</v>
      </c>
      <c r="AR45" s="385"/>
      <c r="AS45" s="385"/>
      <c r="AT45" s="387"/>
      <c r="AU45" s="387"/>
      <c r="AV45" s="387"/>
      <c r="AW45" s="387"/>
      <c r="AX45" s="387">
        <v>133032</v>
      </c>
      <c r="AY45" s="387">
        <v>96266</v>
      </c>
      <c r="AZ45" s="387">
        <v>168634</v>
      </c>
      <c r="BA45" s="387">
        <v>64860</v>
      </c>
      <c r="BB45" s="387">
        <v>462792</v>
      </c>
      <c r="BC45" s="385"/>
      <c r="BD45" s="385"/>
    </row>
    <row r="46" spans="2:56">
      <c r="B46" s="374" t="s">
        <v>595</v>
      </c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441"/>
      <c r="AM46" s="441"/>
      <c r="AN46" s="385"/>
      <c r="AO46" s="385"/>
      <c r="AP46" s="385"/>
      <c r="AQ46" s="385" t="s">
        <v>230</v>
      </c>
      <c r="AR46" s="385" t="s">
        <v>596</v>
      </c>
      <c r="AS46" s="385" t="s">
        <v>597</v>
      </c>
      <c r="AT46" s="387">
        <v>526</v>
      </c>
      <c r="AU46" s="387">
        <v>526</v>
      </c>
      <c r="AV46" s="387">
        <v>530</v>
      </c>
      <c r="AW46" s="387">
        <v>526</v>
      </c>
      <c r="AX46" s="387"/>
      <c r="AY46" s="387"/>
      <c r="AZ46" s="387"/>
      <c r="BA46" s="387"/>
      <c r="BB46" s="387">
        <v>2108</v>
      </c>
      <c r="BC46" s="385" t="s">
        <v>58</v>
      </c>
      <c r="BD46" s="385"/>
    </row>
    <row r="47" spans="2:56">
      <c r="B47" s="374"/>
      <c r="C47" s="368"/>
      <c r="D47" s="368"/>
      <c r="E47" s="368"/>
      <c r="F47" s="368"/>
      <c r="G47" s="368"/>
      <c r="H47" s="368"/>
      <c r="I47" s="368"/>
      <c r="J47" s="368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441"/>
      <c r="AM47" s="441"/>
      <c r="AN47" s="385"/>
      <c r="AO47" s="385"/>
      <c r="AP47" s="385"/>
      <c r="AQ47" s="385"/>
      <c r="AR47" s="385" t="s">
        <v>598</v>
      </c>
      <c r="AS47" s="385"/>
      <c r="AT47" s="387">
        <v>526</v>
      </c>
      <c r="AU47" s="387">
        <v>526</v>
      </c>
      <c r="AV47" s="387">
        <v>530</v>
      </c>
      <c r="AW47" s="387">
        <v>526</v>
      </c>
      <c r="AX47" s="387"/>
      <c r="AY47" s="387"/>
      <c r="AZ47" s="387"/>
      <c r="BA47" s="387"/>
      <c r="BB47" s="387">
        <v>2108</v>
      </c>
      <c r="BC47" s="385"/>
      <c r="BD47" s="385"/>
    </row>
    <row r="48" spans="2:56"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441"/>
      <c r="AM48" s="441"/>
      <c r="AN48" s="385"/>
      <c r="AO48" s="385"/>
      <c r="AP48" s="385"/>
      <c r="AQ48" s="385" t="s">
        <v>599</v>
      </c>
      <c r="AR48" s="385"/>
      <c r="AS48" s="385"/>
      <c r="AT48" s="387">
        <v>526</v>
      </c>
      <c r="AU48" s="387">
        <v>526</v>
      </c>
      <c r="AV48" s="387">
        <v>530</v>
      </c>
      <c r="AW48" s="387">
        <v>526</v>
      </c>
      <c r="AX48" s="387"/>
      <c r="AY48" s="387"/>
      <c r="AZ48" s="387"/>
      <c r="BA48" s="387"/>
      <c r="BB48" s="387">
        <v>2108</v>
      </c>
      <c r="BC48" s="385"/>
      <c r="BD48" s="385"/>
    </row>
    <row r="49" spans="26:56"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441"/>
      <c r="AM49" s="441"/>
      <c r="AN49" s="385"/>
      <c r="AO49" s="385"/>
      <c r="AP49" s="385"/>
      <c r="AQ49" s="385" t="s">
        <v>419</v>
      </c>
      <c r="AR49" s="385"/>
      <c r="AS49" s="385"/>
      <c r="AT49" s="388">
        <v>526</v>
      </c>
      <c r="AU49" s="388">
        <v>526</v>
      </c>
      <c r="AV49" s="388">
        <v>530</v>
      </c>
      <c r="AW49" s="388">
        <v>526</v>
      </c>
      <c r="AX49" s="388">
        <v>133032</v>
      </c>
      <c r="AY49" s="388">
        <v>96266</v>
      </c>
      <c r="AZ49" s="388">
        <v>168634</v>
      </c>
      <c r="BA49" s="388">
        <v>64860</v>
      </c>
      <c r="BB49" s="387">
        <v>464900</v>
      </c>
      <c r="BC49" s="385"/>
      <c r="BD49" s="385"/>
    </row>
    <row r="50" spans="26:56"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441"/>
      <c r="AM50" s="441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  <c r="AX50" s="385"/>
      <c r="AY50" s="385"/>
      <c r="AZ50" s="385"/>
      <c r="BA50" s="385"/>
      <c r="BB50" s="385"/>
      <c r="BC50" s="385"/>
      <c r="BD50" s="385"/>
    </row>
    <row r="51" spans="26:56"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441"/>
      <c r="AM51" s="441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</row>
    <row r="52" spans="26:56"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441"/>
      <c r="AM52" s="441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385"/>
      <c r="AY52" s="385"/>
      <c r="AZ52" s="385"/>
      <c r="BA52" s="441">
        <f>SUM(BB39,BB41,BB43,BB46)</f>
        <v>464900</v>
      </c>
      <c r="BB52" s="385"/>
      <c r="BC52" s="385"/>
      <c r="BD52" s="385"/>
    </row>
    <row r="53" spans="26:56"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441"/>
      <c r="AM53" s="441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</row>
    <row r="54" spans="26:56"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441"/>
      <c r="AM54" s="441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</row>
    <row r="73" spans="2:20">
      <c r="P73" s="563"/>
      <c r="Q73" s="563"/>
      <c r="R73" s="563"/>
      <c r="S73" s="563"/>
      <c r="T73" s="563"/>
    </row>
    <row r="74" spans="2:20">
      <c r="B74" s="369" t="s">
        <v>436</v>
      </c>
    </row>
    <row r="75" spans="2:20">
      <c r="B75" s="374" t="s">
        <v>437</v>
      </c>
    </row>
    <row r="76" spans="2:20">
      <c r="B76" s="374" t="s">
        <v>438</v>
      </c>
    </row>
    <row r="77" spans="2:20">
      <c r="B77" s="374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</row>
    <row r="78" spans="2:20">
      <c r="B78" s="378" t="s">
        <v>439</v>
      </c>
      <c r="C78" s="460"/>
      <c r="D78" s="460"/>
      <c r="E78" s="460"/>
      <c r="F78" s="460"/>
      <c r="G78" s="460"/>
      <c r="H78" s="460"/>
      <c r="I78" s="460"/>
      <c r="J78" s="460"/>
      <c r="K78" s="460"/>
      <c r="L78" s="460"/>
    </row>
    <row r="79" spans="2:20">
      <c r="B79" s="381"/>
      <c r="C79" s="460"/>
      <c r="D79" s="460"/>
      <c r="E79" s="460"/>
      <c r="F79" s="460"/>
    </row>
    <row r="80" spans="2:20">
      <c r="B80" s="381" t="s">
        <v>600</v>
      </c>
      <c r="C80" s="460"/>
      <c r="D80" s="460"/>
      <c r="E80" s="460"/>
      <c r="F80" s="460"/>
      <c r="G80" s="460"/>
      <c r="H80" s="460"/>
      <c r="I80" s="460"/>
      <c r="J80" s="460"/>
      <c r="K80" s="471"/>
    </row>
    <row r="81" spans="2:6">
      <c r="C81" s="460"/>
      <c r="D81" s="460"/>
      <c r="E81" s="460"/>
      <c r="F81" s="460"/>
    </row>
    <row r="82" spans="2:6">
      <c r="B82" s="381" t="s">
        <v>441</v>
      </c>
      <c r="C82" s="460"/>
      <c r="D82" s="460"/>
      <c r="E82" s="460"/>
      <c r="F82" s="460"/>
    </row>
    <row r="83" spans="2:6">
      <c r="B83" s="383" t="s">
        <v>442</v>
      </c>
      <c r="C83" s="459"/>
      <c r="D83" s="459"/>
      <c r="E83" s="459"/>
      <c r="F83" s="459"/>
    </row>
    <row r="84" spans="2:6">
      <c r="B84" s="383"/>
      <c r="C84" s="459"/>
      <c r="D84" s="459"/>
      <c r="E84" s="459"/>
      <c r="F84" s="459"/>
    </row>
  </sheetData>
  <mergeCells count="8">
    <mergeCell ref="B40:L41"/>
    <mergeCell ref="P73:T73"/>
    <mergeCell ref="B5:R5"/>
    <mergeCell ref="B7:E7"/>
    <mergeCell ref="B8:E8"/>
    <mergeCell ref="B9:E9"/>
    <mergeCell ref="P37:V38"/>
    <mergeCell ref="B38:E38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4"/>
  <sheetViews>
    <sheetView topLeftCell="A13" zoomScale="130" zoomScaleNormal="130" workbookViewId="0">
      <selection activeCell="H32" sqref="H32"/>
    </sheetView>
  </sheetViews>
  <sheetFormatPr baseColWidth="10" defaultColWidth="11.5703125" defaultRowHeight="12" customHeight="1"/>
  <cols>
    <col min="1" max="1" width="15.28515625" style="150" customWidth="1"/>
    <col min="2" max="9" width="12.7109375" style="150" customWidth="1"/>
    <col min="10" max="16384" width="11.5703125" style="151"/>
  </cols>
  <sheetData>
    <row r="1" spans="1:9" ht="12" customHeight="1">
      <c r="A1" s="149" t="s">
        <v>222</v>
      </c>
    </row>
    <row r="2" spans="1:9" ht="12" customHeight="1">
      <c r="A2" s="152" t="s">
        <v>8</v>
      </c>
    </row>
    <row r="3" spans="1:9" s="53" customFormat="1" ht="12" customHeight="1">
      <c r="A3" s="47"/>
      <c r="B3" s="49"/>
      <c r="C3" s="49"/>
      <c r="D3" s="49"/>
      <c r="E3" s="49"/>
      <c r="F3" s="49"/>
      <c r="G3" s="49"/>
      <c r="H3" s="49"/>
      <c r="I3" s="49"/>
    </row>
    <row r="5" spans="1:9" ht="12" customHeight="1">
      <c r="A5" s="109" t="s">
        <v>0</v>
      </c>
      <c r="B5" s="109" t="s">
        <v>9</v>
      </c>
      <c r="C5" s="109" t="s">
        <v>16</v>
      </c>
      <c r="D5" s="109" t="s">
        <v>19</v>
      </c>
      <c r="E5" s="109" t="s">
        <v>22</v>
      </c>
      <c r="F5" s="109" t="s">
        <v>25</v>
      </c>
      <c r="G5" s="109" t="s">
        <v>223</v>
      </c>
      <c r="H5" s="109" t="s">
        <v>26</v>
      </c>
      <c r="I5" s="290" t="s">
        <v>29</v>
      </c>
    </row>
    <row r="6" spans="1:9" ht="12" customHeight="1" thickBot="1">
      <c r="A6" s="20"/>
      <c r="B6" s="20" t="s">
        <v>224</v>
      </c>
      <c r="C6" s="20" t="s">
        <v>302</v>
      </c>
      <c r="D6" s="20" t="s">
        <v>224</v>
      </c>
      <c r="E6" s="20" t="s">
        <v>303</v>
      </c>
      <c r="F6" s="20" t="s">
        <v>224</v>
      </c>
      <c r="G6" s="20" t="s">
        <v>224</v>
      </c>
      <c r="H6" s="20" t="s">
        <v>224</v>
      </c>
      <c r="I6" s="20" t="s">
        <v>224</v>
      </c>
    </row>
    <row r="7" spans="1:9" ht="12" customHeight="1">
      <c r="A7" s="150">
        <v>2008</v>
      </c>
      <c r="B7" s="153">
        <v>1267866.580079</v>
      </c>
      <c r="C7" s="153">
        <v>179870495.37399676</v>
      </c>
      <c r="D7" s="153">
        <v>1602597.0080210001</v>
      </c>
      <c r="E7" s="153">
        <v>3685931.4598570857</v>
      </c>
      <c r="F7" s="153">
        <v>345109.27027199999</v>
      </c>
      <c r="G7" s="153">
        <v>5243278.2475079317</v>
      </c>
      <c r="H7" s="153">
        <v>39037.065934999999</v>
      </c>
      <c r="I7" s="153">
        <v>16000</v>
      </c>
    </row>
    <row r="8" spans="1:9" ht="12" customHeight="1">
      <c r="A8" s="150">
        <v>2009</v>
      </c>
      <c r="B8" s="153">
        <v>1276249.2028350001</v>
      </c>
      <c r="C8" s="153">
        <v>183994714.39928088</v>
      </c>
      <c r="D8" s="153">
        <v>1512931.0674319996</v>
      </c>
      <c r="E8" s="153">
        <v>3922708.8843694869</v>
      </c>
      <c r="F8" s="153">
        <v>302459.11290999997</v>
      </c>
      <c r="G8" s="153">
        <v>4418768.325600001</v>
      </c>
      <c r="H8" s="153">
        <v>37502.627191</v>
      </c>
      <c r="I8" s="153">
        <v>12000</v>
      </c>
    </row>
    <row r="9" spans="1:9" ht="12" customHeight="1">
      <c r="A9" s="150">
        <v>2010</v>
      </c>
      <c r="B9" s="153">
        <v>1247184.0293920003</v>
      </c>
      <c r="C9" s="153">
        <v>164084409.31560928</v>
      </c>
      <c r="D9" s="153">
        <v>1470449.7064990001</v>
      </c>
      <c r="E9" s="153">
        <v>3640465.9170745406</v>
      </c>
      <c r="F9" s="153">
        <v>261989.60579399994</v>
      </c>
      <c r="G9" s="153">
        <v>6042644.2223000005</v>
      </c>
      <c r="H9" s="153">
        <v>33847.813441999999</v>
      </c>
      <c r="I9" s="153">
        <v>17000</v>
      </c>
    </row>
    <row r="10" spans="1:9" ht="12" customHeight="1">
      <c r="A10" s="150">
        <v>2011</v>
      </c>
      <c r="B10" s="153">
        <v>1235345.0680179999</v>
      </c>
      <c r="C10" s="153">
        <v>166186737.65759215</v>
      </c>
      <c r="D10" s="153">
        <v>1256382.6002110001</v>
      </c>
      <c r="E10" s="153">
        <v>3418862.5427760012</v>
      </c>
      <c r="F10" s="153">
        <v>230199.08238500002</v>
      </c>
      <c r="G10" s="153">
        <v>7010937.8915999997</v>
      </c>
      <c r="H10" s="153">
        <v>28881.790966</v>
      </c>
      <c r="I10" s="153">
        <v>19000</v>
      </c>
    </row>
    <row r="11" spans="1:9" ht="12" customHeight="1">
      <c r="A11" s="150">
        <v>2012</v>
      </c>
      <c r="B11" s="153">
        <v>1298761.3646879999</v>
      </c>
      <c r="C11" s="153">
        <v>161544686.25159043</v>
      </c>
      <c r="D11" s="153">
        <v>1281282.4314850001</v>
      </c>
      <c r="E11" s="153">
        <v>3480857.3450930165</v>
      </c>
      <c r="F11" s="153">
        <v>249236.15747600002</v>
      </c>
      <c r="G11" s="153">
        <v>6684539.3917999994</v>
      </c>
      <c r="H11" s="153">
        <v>26104.854507000004</v>
      </c>
      <c r="I11" s="153">
        <v>17000</v>
      </c>
    </row>
    <row r="12" spans="1:9" ht="12" customHeight="1">
      <c r="A12" s="150">
        <v>2013</v>
      </c>
      <c r="B12" s="153">
        <v>1375640.694202</v>
      </c>
      <c r="C12" s="153">
        <v>156257425.44059473</v>
      </c>
      <c r="D12" s="153">
        <v>1351273.4971160002</v>
      </c>
      <c r="E12" s="153">
        <v>3674282.9679788533</v>
      </c>
      <c r="F12" s="153">
        <v>266472.33039199992</v>
      </c>
      <c r="G12" s="153">
        <v>6680658.79</v>
      </c>
      <c r="H12" s="153">
        <v>23667.787452</v>
      </c>
      <c r="I12" s="153">
        <v>18000</v>
      </c>
    </row>
    <row r="13" spans="1:9" ht="12" customHeight="1">
      <c r="A13" s="150">
        <v>2014</v>
      </c>
      <c r="B13" s="153">
        <v>1377642.4148150005</v>
      </c>
      <c r="C13" s="153">
        <v>140097028.09351492</v>
      </c>
      <c r="D13" s="153">
        <v>1315475.3454159996</v>
      </c>
      <c r="E13" s="153">
        <v>3768147.1783280014</v>
      </c>
      <c r="F13" s="153">
        <v>277294.48258999997</v>
      </c>
      <c r="G13" s="153">
        <v>7192591.9308000002</v>
      </c>
      <c r="H13" s="153">
        <v>23105.261868000001</v>
      </c>
      <c r="I13" s="153">
        <v>17017.692465</v>
      </c>
    </row>
    <row r="14" spans="1:9" ht="12" customHeight="1">
      <c r="A14" s="150">
        <v>2015</v>
      </c>
      <c r="B14" s="153">
        <v>1700814.0358259997</v>
      </c>
      <c r="C14" s="153">
        <v>146822906.53713998</v>
      </c>
      <c r="D14" s="153">
        <v>1421513.070201</v>
      </c>
      <c r="E14" s="153">
        <v>4101567.7170699998</v>
      </c>
      <c r="F14" s="153">
        <v>315784.01908399991</v>
      </c>
      <c r="G14" s="153">
        <v>7320806.8476999998</v>
      </c>
      <c r="H14" s="153">
        <v>19510.729779000001</v>
      </c>
      <c r="I14" s="153">
        <v>20153.237616000002</v>
      </c>
    </row>
    <row r="15" spans="1:9" ht="12" customHeight="1">
      <c r="A15" s="150">
        <v>2016</v>
      </c>
      <c r="B15" s="153">
        <v>2353858.5579219996</v>
      </c>
      <c r="C15" s="153">
        <v>153005602.97612339</v>
      </c>
      <c r="D15" s="153">
        <v>1336835.1692190007</v>
      </c>
      <c r="E15" s="153">
        <v>4374355.6040669987</v>
      </c>
      <c r="F15" s="153">
        <v>314174.41007200006</v>
      </c>
      <c r="G15" s="153">
        <v>7663123.9877000004</v>
      </c>
      <c r="H15" s="153">
        <v>18789.004762</v>
      </c>
      <c r="I15" s="153">
        <v>25756.505005000006</v>
      </c>
    </row>
    <row r="16" spans="1:9" ht="12" customHeight="1">
      <c r="A16" s="16">
        <v>2017</v>
      </c>
      <c r="B16" s="17">
        <f>B30</f>
        <v>754892.68322800018</v>
      </c>
      <c r="C16" s="17">
        <f t="shared" ref="C16:I16" si="0">C30</f>
        <v>47304518.856783263</v>
      </c>
      <c r="D16" s="17">
        <f t="shared" si="0"/>
        <v>455567.60655099998</v>
      </c>
      <c r="E16" s="17">
        <f t="shared" si="0"/>
        <v>1377931.4557520004</v>
      </c>
      <c r="F16" s="17">
        <f t="shared" si="0"/>
        <v>98785.417486999984</v>
      </c>
      <c r="G16" s="17">
        <f t="shared" si="0"/>
        <v>2960281.8901999998</v>
      </c>
      <c r="H16" s="17">
        <f t="shared" si="0"/>
        <v>5549.3572999999997</v>
      </c>
      <c r="I16" s="17">
        <f t="shared" si="0"/>
        <v>7426.6525589999983</v>
      </c>
    </row>
    <row r="17" spans="1:9" ht="12" customHeight="1">
      <c r="A17" s="7"/>
      <c r="B17" s="153"/>
      <c r="C17" s="153"/>
      <c r="D17" s="153"/>
      <c r="E17" s="153"/>
      <c r="F17" s="153"/>
      <c r="G17" s="153"/>
      <c r="H17" s="153"/>
      <c r="I17" s="153"/>
    </row>
    <row r="18" spans="1:9" ht="12" customHeight="1">
      <c r="A18" s="152" t="s">
        <v>402</v>
      </c>
      <c r="D18" s="153"/>
    </row>
    <row r="19" spans="1:9" s="55" customFormat="1" ht="12" customHeight="1">
      <c r="A19" s="154"/>
      <c r="B19" s="67"/>
      <c r="C19" s="67"/>
      <c r="D19" s="67"/>
      <c r="E19" s="67"/>
      <c r="F19" s="67"/>
      <c r="G19" s="67"/>
      <c r="H19" s="67"/>
      <c r="I19" s="67"/>
    </row>
    <row r="20" spans="1:9" ht="12" customHeight="1">
      <c r="A20" s="109" t="s">
        <v>0</v>
      </c>
      <c r="B20" s="109" t="s">
        <v>9</v>
      </c>
      <c r="C20" s="109" t="s">
        <v>16</v>
      </c>
      <c r="D20" s="109" t="s">
        <v>19</v>
      </c>
      <c r="E20" s="109" t="s">
        <v>22</v>
      </c>
      <c r="F20" s="109" t="s">
        <v>25</v>
      </c>
      <c r="G20" s="109" t="s">
        <v>223</v>
      </c>
      <c r="H20" s="109" t="s">
        <v>26</v>
      </c>
      <c r="I20" s="290" t="s">
        <v>29</v>
      </c>
    </row>
    <row r="21" spans="1:9" ht="12" customHeight="1">
      <c r="A21" s="323">
        <v>2017</v>
      </c>
      <c r="B21" s="324">
        <v>190903.39100000006</v>
      </c>
      <c r="C21" s="324">
        <v>11826768.302391911</v>
      </c>
      <c r="D21" s="324">
        <v>122987.904041</v>
      </c>
      <c r="E21" s="324">
        <v>361434.46809599991</v>
      </c>
      <c r="F21" s="324">
        <v>26452.052766999997</v>
      </c>
      <c r="G21" s="324">
        <v>718226.83940000006</v>
      </c>
      <c r="H21" s="324">
        <v>1532.0994000000001</v>
      </c>
      <c r="I21" s="324">
        <v>1729.808792</v>
      </c>
    </row>
    <row r="22" spans="1:9" ht="12" customHeight="1">
      <c r="A22" s="323">
        <v>2016</v>
      </c>
      <c r="B22" s="324">
        <v>187983.02828600002</v>
      </c>
      <c r="C22" s="324">
        <v>12563932.097276002</v>
      </c>
      <c r="D22" s="324">
        <v>96493.104971999986</v>
      </c>
      <c r="E22" s="324">
        <v>347796.18967200012</v>
      </c>
      <c r="F22" s="324">
        <v>25697.715452</v>
      </c>
      <c r="G22" s="324">
        <v>661147.83750000002</v>
      </c>
      <c r="H22" s="324">
        <v>1440.5618999999999</v>
      </c>
      <c r="I22" s="324">
        <v>2334.8966140000002</v>
      </c>
    </row>
    <row r="23" spans="1:9" ht="12" customHeight="1">
      <c r="A23" s="325" t="s">
        <v>38</v>
      </c>
      <c r="B23" s="63">
        <f>B21/B22-1</f>
        <v>1.553524666895445E-2</v>
      </c>
      <c r="C23" s="63">
        <f t="shared" ref="C23:I23" si="1">C21/C22-1</f>
        <v>-5.86730164710072E-2</v>
      </c>
      <c r="D23" s="63">
        <f t="shared" si="1"/>
        <v>0.2745771221341482</v>
      </c>
      <c r="E23" s="63">
        <f t="shared" si="1"/>
        <v>3.9213421046566888E-2</v>
      </c>
      <c r="F23" s="63">
        <f t="shared" si="1"/>
        <v>2.9354255883524027E-2</v>
      </c>
      <c r="G23" s="63">
        <f t="shared" si="1"/>
        <v>8.6333190040873475E-2</v>
      </c>
      <c r="H23" s="63">
        <f t="shared" si="1"/>
        <v>6.3542913359016406E-2</v>
      </c>
      <c r="I23" s="63">
        <f t="shared" si="1"/>
        <v>-0.25914972781745627</v>
      </c>
    </row>
    <row r="24" spans="1:9" ht="12" customHeight="1">
      <c r="B24" s="153"/>
      <c r="C24" s="153"/>
      <c r="D24" s="153"/>
      <c r="E24" s="153"/>
      <c r="F24" s="153"/>
      <c r="G24" s="153"/>
      <c r="H24" s="153"/>
      <c r="I24" s="153"/>
    </row>
    <row r="27" spans="1:9" s="155" customFormat="1" ht="12" customHeight="1">
      <c r="A27" s="155" t="s">
        <v>403</v>
      </c>
    </row>
    <row r="28" spans="1:9" ht="12" customHeight="1">
      <c r="A28" s="154"/>
    </row>
    <row r="29" spans="1:9" ht="12" customHeight="1">
      <c r="A29" s="238" t="s">
        <v>0</v>
      </c>
      <c r="B29" s="238" t="s">
        <v>9</v>
      </c>
      <c r="C29" s="238" t="s">
        <v>16</v>
      </c>
      <c r="D29" s="238" t="s">
        <v>19</v>
      </c>
      <c r="E29" s="238" t="s">
        <v>22</v>
      </c>
      <c r="F29" s="238" t="s">
        <v>25</v>
      </c>
      <c r="G29" s="238" t="s">
        <v>223</v>
      </c>
      <c r="H29" s="238" t="s">
        <v>26</v>
      </c>
      <c r="I29" s="290" t="s">
        <v>29</v>
      </c>
    </row>
    <row r="30" spans="1:9" ht="12" customHeight="1">
      <c r="A30" s="323">
        <v>2017</v>
      </c>
      <c r="B30" s="324">
        <v>754892.68322800018</v>
      </c>
      <c r="C30" s="324">
        <v>47304518.856783263</v>
      </c>
      <c r="D30" s="324">
        <v>455567.60655099998</v>
      </c>
      <c r="E30" s="324">
        <v>1377931.4557520004</v>
      </c>
      <c r="F30" s="324">
        <v>98785.417486999984</v>
      </c>
      <c r="G30" s="324">
        <v>2960281.8901999998</v>
      </c>
      <c r="H30" s="324">
        <v>5549.3572999999997</v>
      </c>
      <c r="I30" s="324">
        <v>7426.6525589999983</v>
      </c>
    </row>
    <row r="31" spans="1:9" ht="12" customHeight="1">
      <c r="A31" s="323">
        <v>2016</v>
      </c>
      <c r="B31" s="324">
        <v>702461.21864700015</v>
      </c>
      <c r="C31" s="324">
        <v>51084115.961844236</v>
      </c>
      <c r="D31" s="324">
        <v>416111.83975299983</v>
      </c>
      <c r="E31" s="324">
        <v>1419218.3600019994</v>
      </c>
      <c r="F31" s="324">
        <v>103614.59006500001</v>
      </c>
      <c r="G31" s="324">
        <v>2757114.8287999998</v>
      </c>
      <c r="H31" s="324">
        <v>5714.4640220000001</v>
      </c>
      <c r="I31" s="324">
        <v>8191.0464799999991</v>
      </c>
    </row>
    <row r="32" spans="1:9" ht="12" customHeight="1">
      <c r="A32" s="325" t="s">
        <v>38</v>
      </c>
      <c r="B32" s="63">
        <f>B30/B31-1</f>
        <v>7.4639657235437751E-2</v>
      </c>
      <c r="C32" s="63">
        <f t="shared" ref="C32:I32" si="2">C30/C31-1</f>
        <v>-7.3987716805827275E-2</v>
      </c>
      <c r="D32" s="63">
        <f t="shared" si="2"/>
        <v>9.4820101301180681E-2</v>
      </c>
      <c r="E32" s="63">
        <f t="shared" si="2"/>
        <v>-2.9091298008532496E-2</v>
      </c>
      <c r="F32" s="63">
        <f t="shared" si="2"/>
        <v>-4.6607071214300633E-2</v>
      </c>
      <c r="G32" s="63">
        <f t="shared" si="2"/>
        <v>7.3688284317278807E-2</v>
      </c>
      <c r="H32" s="63">
        <f t="shared" si="2"/>
        <v>-2.8892774784189612E-2</v>
      </c>
      <c r="I32" s="63">
        <f t="shared" si="2"/>
        <v>-9.3320667007129599E-2</v>
      </c>
    </row>
    <row r="34" spans="1:10" ht="12" customHeight="1">
      <c r="C34" s="21"/>
      <c r="D34" s="21"/>
      <c r="E34" s="21"/>
      <c r="F34" s="21"/>
    </row>
    <row r="35" spans="1:10" ht="12" customHeight="1">
      <c r="A35" s="155" t="s">
        <v>298</v>
      </c>
      <c r="B35" s="155"/>
      <c r="C35" s="155"/>
      <c r="D35" s="155"/>
      <c r="E35" s="155"/>
      <c r="F35" s="155"/>
      <c r="G35" s="155"/>
      <c r="H35" s="155"/>
      <c r="I35" s="155"/>
    </row>
    <row r="36" spans="1:10" s="155" customFormat="1" ht="12" customHeight="1">
      <c r="A36" s="154"/>
      <c r="B36" s="150"/>
      <c r="C36" s="150"/>
      <c r="D36" s="150"/>
      <c r="E36" s="150"/>
      <c r="F36" s="150"/>
      <c r="G36" s="150"/>
      <c r="H36" s="150"/>
      <c r="I36" s="150"/>
      <c r="J36" s="219"/>
    </row>
    <row r="37" spans="1:10" ht="12" customHeight="1">
      <c r="A37" s="218" t="s">
        <v>299</v>
      </c>
      <c r="B37" s="218" t="s">
        <v>9</v>
      </c>
      <c r="C37" s="218" t="s">
        <v>16</v>
      </c>
      <c r="D37" s="218" t="s">
        <v>19</v>
      </c>
      <c r="E37" s="218" t="s">
        <v>22</v>
      </c>
      <c r="F37" s="218" t="s">
        <v>25</v>
      </c>
      <c r="G37" s="218" t="s">
        <v>223</v>
      </c>
      <c r="H37" s="218" t="s">
        <v>26</v>
      </c>
      <c r="I37" s="290" t="s">
        <v>29</v>
      </c>
      <c r="J37" s="156"/>
    </row>
    <row r="38" spans="1:10" ht="12" customHeight="1">
      <c r="A38" s="220">
        <v>42826</v>
      </c>
      <c r="B38" s="153">
        <f>B21</f>
        <v>190903.39100000006</v>
      </c>
      <c r="C38" s="153">
        <f t="shared" ref="C38:I38" si="3">C21</f>
        <v>11826768.302391911</v>
      </c>
      <c r="D38" s="153">
        <f t="shared" si="3"/>
        <v>122987.904041</v>
      </c>
      <c r="E38" s="153">
        <f t="shared" si="3"/>
        <v>361434.46809599991</v>
      </c>
      <c r="F38" s="153">
        <f t="shared" si="3"/>
        <v>26452.052766999997</v>
      </c>
      <c r="G38" s="153">
        <f t="shared" si="3"/>
        <v>718226.83940000006</v>
      </c>
      <c r="H38" s="153">
        <f t="shared" si="3"/>
        <v>1532.0994000000001</v>
      </c>
      <c r="I38" s="153">
        <f t="shared" si="3"/>
        <v>1729.808792</v>
      </c>
      <c r="J38" s="156"/>
    </row>
    <row r="39" spans="1:10" ht="12" customHeight="1">
      <c r="A39" s="220">
        <v>42795</v>
      </c>
      <c r="B39" s="153">
        <v>189390.07332799994</v>
      </c>
      <c r="C39" s="153">
        <v>11700450.640771592</v>
      </c>
      <c r="D39" s="153">
        <v>109873.141093</v>
      </c>
      <c r="E39" s="153">
        <v>359285.7904900001</v>
      </c>
      <c r="F39" s="153">
        <v>25908.486014999999</v>
      </c>
      <c r="G39" s="153">
        <v>833368.85219999996</v>
      </c>
      <c r="H39" s="153">
        <v>1359.9458</v>
      </c>
      <c r="I39" s="153">
        <v>1790.679394</v>
      </c>
      <c r="J39" s="156"/>
    </row>
    <row r="40" spans="1:10" ht="12" customHeight="1">
      <c r="A40" s="16" t="s">
        <v>38</v>
      </c>
      <c r="B40" s="63">
        <f>B38/B39-1</f>
        <v>7.9904804164643295E-3</v>
      </c>
      <c r="C40" s="63">
        <f t="shared" ref="C40:H40" si="4">C38/C39-1</f>
        <v>1.0795965514366568E-2</v>
      </c>
      <c r="D40" s="63">
        <f t="shared" si="4"/>
        <v>0.11936277435537468</v>
      </c>
      <c r="E40" s="63">
        <f t="shared" si="4"/>
        <v>5.9804135395096214E-3</v>
      </c>
      <c r="F40" s="63">
        <f t="shared" si="4"/>
        <v>2.0980259197133089E-2</v>
      </c>
      <c r="G40" s="63">
        <f t="shared" si="4"/>
        <v>-0.13816452642312937</v>
      </c>
      <c r="H40" s="63">
        <f t="shared" si="4"/>
        <v>0.12658857433877158</v>
      </c>
      <c r="I40" s="63">
        <f t="shared" ref="I40" si="5">I38/I39-1</f>
        <v>-3.399302086345446E-2</v>
      </c>
      <c r="J40" s="156"/>
    </row>
    <row r="41" spans="1:10" ht="12" customHeight="1">
      <c r="J41" s="156"/>
    </row>
    <row r="42" spans="1:10" ht="12" customHeight="1">
      <c r="J42" s="156"/>
    </row>
    <row r="44" spans="1:10" ht="12" customHeight="1">
      <c r="A44" s="5" t="s">
        <v>7</v>
      </c>
      <c r="B44" s="9"/>
      <c r="C44" s="9"/>
      <c r="D44" s="9"/>
      <c r="E44" s="9"/>
      <c r="F44" s="9"/>
      <c r="G44" s="9"/>
      <c r="H44" s="9"/>
      <c r="I44" s="9"/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3:O95"/>
  <sheetViews>
    <sheetView topLeftCell="B48" workbookViewId="0">
      <selection activeCell="K62" sqref="K51:N62"/>
    </sheetView>
  </sheetViews>
  <sheetFormatPr baseColWidth="10" defaultRowHeight="15"/>
  <cols>
    <col min="1" max="1" width="11.42578125" style="291"/>
    <col min="2" max="2" width="38.28515625" style="291" customWidth="1"/>
    <col min="3" max="4" width="12.7109375" style="291" bestFit="1" customWidth="1"/>
    <col min="5" max="10" width="11.42578125" style="291"/>
    <col min="11" max="11" width="55.7109375" style="291" bestFit="1" customWidth="1"/>
    <col min="12" max="12" width="12.7109375" style="291" bestFit="1" customWidth="1"/>
    <col min="13" max="13" width="13.85546875" style="291" bestFit="1" customWidth="1"/>
    <col min="14" max="257" width="11.42578125" style="291"/>
    <col min="258" max="258" width="38.28515625" style="291" customWidth="1"/>
    <col min="259" max="260" width="12.7109375" style="291" bestFit="1" customWidth="1"/>
    <col min="261" max="266" width="11.42578125" style="291"/>
    <col min="267" max="267" width="55.7109375" style="291" bestFit="1" customWidth="1"/>
    <col min="268" max="268" width="12.7109375" style="291" bestFit="1" customWidth="1"/>
    <col min="269" max="269" width="13.85546875" style="291" bestFit="1" customWidth="1"/>
    <col min="270" max="513" width="11.42578125" style="291"/>
    <col min="514" max="514" width="38.28515625" style="291" customWidth="1"/>
    <col min="515" max="516" width="12.7109375" style="291" bestFit="1" customWidth="1"/>
    <col min="517" max="522" width="11.42578125" style="291"/>
    <col min="523" max="523" width="55.7109375" style="291" bestFit="1" customWidth="1"/>
    <col min="524" max="524" width="12.7109375" style="291" bestFit="1" customWidth="1"/>
    <col min="525" max="525" width="13.85546875" style="291" bestFit="1" customWidth="1"/>
    <col min="526" max="769" width="11.42578125" style="291"/>
    <col min="770" max="770" width="38.28515625" style="291" customWidth="1"/>
    <col min="771" max="772" width="12.7109375" style="291" bestFit="1" customWidth="1"/>
    <col min="773" max="778" width="11.42578125" style="291"/>
    <col min="779" max="779" width="55.7109375" style="291" bestFit="1" customWidth="1"/>
    <col min="780" max="780" width="12.7109375" style="291" bestFit="1" customWidth="1"/>
    <col min="781" max="781" width="13.85546875" style="291" bestFit="1" customWidth="1"/>
    <col min="782" max="1025" width="11.42578125" style="291"/>
    <col min="1026" max="1026" width="38.28515625" style="291" customWidth="1"/>
    <col min="1027" max="1028" width="12.7109375" style="291" bestFit="1" customWidth="1"/>
    <col min="1029" max="1034" width="11.42578125" style="291"/>
    <col min="1035" max="1035" width="55.7109375" style="291" bestFit="1" customWidth="1"/>
    <col min="1036" max="1036" width="12.7109375" style="291" bestFit="1" customWidth="1"/>
    <col min="1037" max="1037" width="13.85546875" style="291" bestFit="1" customWidth="1"/>
    <col min="1038" max="1281" width="11.42578125" style="291"/>
    <col min="1282" max="1282" width="38.28515625" style="291" customWidth="1"/>
    <col min="1283" max="1284" width="12.7109375" style="291" bestFit="1" customWidth="1"/>
    <col min="1285" max="1290" width="11.42578125" style="291"/>
    <col min="1291" max="1291" width="55.7109375" style="291" bestFit="1" customWidth="1"/>
    <col min="1292" max="1292" width="12.7109375" style="291" bestFit="1" customWidth="1"/>
    <col min="1293" max="1293" width="13.85546875" style="291" bestFit="1" customWidth="1"/>
    <col min="1294" max="1537" width="11.42578125" style="291"/>
    <col min="1538" max="1538" width="38.28515625" style="291" customWidth="1"/>
    <col min="1539" max="1540" width="12.7109375" style="291" bestFit="1" customWidth="1"/>
    <col min="1541" max="1546" width="11.42578125" style="291"/>
    <col min="1547" max="1547" width="55.7109375" style="291" bestFit="1" customWidth="1"/>
    <col min="1548" max="1548" width="12.7109375" style="291" bestFit="1" customWidth="1"/>
    <col min="1549" max="1549" width="13.85546875" style="291" bestFit="1" customWidth="1"/>
    <col min="1550" max="1793" width="11.42578125" style="291"/>
    <col min="1794" max="1794" width="38.28515625" style="291" customWidth="1"/>
    <col min="1795" max="1796" width="12.7109375" style="291" bestFit="1" customWidth="1"/>
    <col min="1797" max="1802" width="11.42578125" style="291"/>
    <col min="1803" max="1803" width="55.7109375" style="291" bestFit="1" customWidth="1"/>
    <col min="1804" max="1804" width="12.7109375" style="291" bestFit="1" customWidth="1"/>
    <col min="1805" max="1805" width="13.85546875" style="291" bestFit="1" customWidth="1"/>
    <col min="1806" max="2049" width="11.42578125" style="291"/>
    <col min="2050" max="2050" width="38.28515625" style="291" customWidth="1"/>
    <col min="2051" max="2052" width="12.7109375" style="291" bestFit="1" customWidth="1"/>
    <col min="2053" max="2058" width="11.42578125" style="291"/>
    <col min="2059" max="2059" width="55.7109375" style="291" bestFit="1" customWidth="1"/>
    <col min="2060" max="2060" width="12.7109375" style="291" bestFit="1" customWidth="1"/>
    <col min="2061" max="2061" width="13.85546875" style="291" bestFit="1" customWidth="1"/>
    <col min="2062" max="2305" width="11.42578125" style="291"/>
    <col min="2306" max="2306" width="38.28515625" style="291" customWidth="1"/>
    <col min="2307" max="2308" width="12.7109375" style="291" bestFit="1" customWidth="1"/>
    <col min="2309" max="2314" width="11.42578125" style="291"/>
    <col min="2315" max="2315" width="55.7109375" style="291" bestFit="1" customWidth="1"/>
    <col min="2316" max="2316" width="12.7109375" style="291" bestFit="1" customWidth="1"/>
    <col min="2317" max="2317" width="13.85546875" style="291" bestFit="1" customWidth="1"/>
    <col min="2318" max="2561" width="11.42578125" style="291"/>
    <col min="2562" max="2562" width="38.28515625" style="291" customWidth="1"/>
    <col min="2563" max="2564" width="12.7109375" style="291" bestFit="1" customWidth="1"/>
    <col min="2565" max="2570" width="11.42578125" style="291"/>
    <col min="2571" max="2571" width="55.7109375" style="291" bestFit="1" customWidth="1"/>
    <col min="2572" max="2572" width="12.7109375" style="291" bestFit="1" customWidth="1"/>
    <col min="2573" max="2573" width="13.85546875" style="291" bestFit="1" customWidth="1"/>
    <col min="2574" max="2817" width="11.42578125" style="291"/>
    <col min="2818" max="2818" width="38.28515625" style="291" customWidth="1"/>
    <col min="2819" max="2820" width="12.7109375" style="291" bestFit="1" customWidth="1"/>
    <col min="2821" max="2826" width="11.42578125" style="291"/>
    <col min="2827" max="2827" width="55.7109375" style="291" bestFit="1" customWidth="1"/>
    <col min="2828" max="2828" width="12.7109375" style="291" bestFit="1" customWidth="1"/>
    <col min="2829" max="2829" width="13.85546875" style="291" bestFit="1" customWidth="1"/>
    <col min="2830" max="3073" width="11.42578125" style="291"/>
    <col min="3074" max="3074" width="38.28515625" style="291" customWidth="1"/>
    <col min="3075" max="3076" width="12.7109375" style="291" bestFit="1" customWidth="1"/>
    <col min="3077" max="3082" width="11.42578125" style="291"/>
    <col min="3083" max="3083" width="55.7109375" style="291" bestFit="1" customWidth="1"/>
    <col min="3084" max="3084" width="12.7109375" style="291" bestFit="1" customWidth="1"/>
    <col min="3085" max="3085" width="13.85546875" style="291" bestFit="1" customWidth="1"/>
    <col min="3086" max="3329" width="11.42578125" style="291"/>
    <col min="3330" max="3330" width="38.28515625" style="291" customWidth="1"/>
    <col min="3331" max="3332" width="12.7109375" style="291" bestFit="1" customWidth="1"/>
    <col min="3333" max="3338" width="11.42578125" style="291"/>
    <col min="3339" max="3339" width="55.7109375" style="291" bestFit="1" customWidth="1"/>
    <col min="3340" max="3340" width="12.7109375" style="291" bestFit="1" customWidth="1"/>
    <col min="3341" max="3341" width="13.85546875" style="291" bestFit="1" customWidth="1"/>
    <col min="3342" max="3585" width="11.42578125" style="291"/>
    <col min="3586" max="3586" width="38.28515625" style="291" customWidth="1"/>
    <col min="3587" max="3588" width="12.7109375" style="291" bestFit="1" customWidth="1"/>
    <col min="3589" max="3594" width="11.42578125" style="291"/>
    <col min="3595" max="3595" width="55.7109375" style="291" bestFit="1" customWidth="1"/>
    <col min="3596" max="3596" width="12.7109375" style="291" bestFit="1" customWidth="1"/>
    <col min="3597" max="3597" width="13.85546875" style="291" bestFit="1" customWidth="1"/>
    <col min="3598" max="3841" width="11.42578125" style="291"/>
    <col min="3842" max="3842" width="38.28515625" style="291" customWidth="1"/>
    <col min="3843" max="3844" width="12.7109375" style="291" bestFit="1" customWidth="1"/>
    <col min="3845" max="3850" width="11.42578125" style="291"/>
    <col min="3851" max="3851" width="55.7109375" style="291" bestFit="1" customWidth="1"/>
    <col min="3852" max="3852" width="12.7109375" style="291" bestFit="1" customWidth="1"/>
    <col min="3853" max="3853" width="13.85546875" style="291" bestFit="1" customWidth="1"/>
    <col min="3854" max="4097" width="11.42578125" style="291"/>
    <col min="4098" max="4098" width="38.28515625" style="291" customWidth="1"/>
    <col min="4099" max="4100" width="12.7109375" style="291" bestFit="1" customWidth="1"/>
    <col min="4101" max="4106" width="11.42578125" style="291"/>
    <col min="4107" max="4107" width="55.7109375" style="291" bestFit="1" customWidth="1"/>
    <col min="4108" max="4108" width="12.7109375" style="291" bestFit="1" customWidth="1"/>
    <col min="4109" max="4109" width="13.85546875" style="291" bestFit="1" customWidth="1"/>
    <col min="4110" max="4353" width="11.42578125" style="291"/>
    <col min="4354" max="4354" width="38.28515625" style="291" customWidth="1"/>
    <col min="4355" max="4356" width="12.7109375" style="291" bestFit="1" customWidth="1"/>
    <col min="4357" max="4362" width="11.42578125" style="291"/>
    <col min="4363" max="4363" width="55.7109375" style="291" bestFit="1" customWidth="1"/>
    <col min="4364" max="4364" width="12.7109375" style="291" bestFit="1" customWidth="1"/>
    <col min="4365" max="4365" width="13.85546875" style="291" bestFit="1" customWidth="1"/>
    <col min="4366" max="4609" width="11.42578125" style="291"/>
    <col min="4610" max="4610" width="38.28515625" style="291" customWidth="1"/>
    <col min="4611" max="4612" width="12.7109375" style="291" bestFit="1" customWidth="1"/>
    <col min="4613" max="4618" width="11.42578125" style="291"/>
    <col min="4619" max="4619" width="55.7109375" style="291" bestFit="1" customWidth="1"/>
    <col min="4620" max="4620" width="12.7109375" style="291" bestFit="1" customWidth="1"/>
    <col min="4621" max="4621" width="13.85546875" style="291" bestFit="1" customWidth="1"/>
    <col min="4622" max="4865" width="11.42578125" style="291"/>
    <col min="4866" max="4866" width="38.28515625" style="291" customWidth="1"/>
    <col min="4867" max="4868" width="12.7109375" style="291" bestFit="1" customWidth="1"/>
    <col min="4869" max="4874" width="11.42578125" style="291"/>
    <col min="4875" max="4875" width="55.7109375" style="291" bestFit="1" customWidth="1"/>
    <col min="4876" max="4876" width="12.7109375" style="291" bestFit="1" customWidth="1"/>
    <col min="4877" max="4877" width="13.85546875" style="291" bestFit="1" customWidth="1"/>
    <col min="4878" max="5121" width="11.42578125" style="291"/>
    <col min="5122" max="5122" width="38.28515625" style="291" customWidth="1"/>
    <col min="5123" max="5124" width="12.7109375" style="291" bestFit="1" customWidth="1"/>
    <col min="5125" max="5130" width="11.42578125" style="291"/>
    <col min="5131" max="5131" width="55.7109375" style="291" bestFit="1" customWidth="1"/>
    <col min="5132" max="5132" width="12.7109375" style="291" bestFit="1" customWidth="1"/>
    <col min="5133" max="5133" width="13.85546875" style="291" bestFit="1" customWidth="1"/>
    <col min="5134" max="5377" width="11.42578125" style="291"/>
    <col min="5378" max="5378" width="38.28515625" style="291" customWidth="1"/>
    <col min="5379" max="5380" width="12.7109375" style="291" bestFit="1" customWidth="1"/>
    <col min="5381" max="5386" width="11.42578125" style="291"/>
    <col min="5387" max="5387" width="55.7109375" style="291" bestFit="1" customWidth="1"/>
    <col min="5388" max="5388" width="12.7109375" style="291" bestFit="1" customWidth="1"/>
    <col min="5389" max="5389" width="13.85546875" style="291" bestFit="1" customWidth="1"/>
    <col min="5390" max="5633" width="11.42578125" style="291"/>
    <col min="5634" max="5634" width="38.28515625" style="291" customWidth="1"/>
    <col min="5635" max="5636" width="12.7109375" style="291" bestFit="1" customWidth="1"/>
    <col min="5637" max="5642" width="11.42578125" style="291"/>
    <col min="5643" max="5643" width="55.7109375" style="291" bestFit="1" customWidth="1"/>
    <col min="5644" max="5644" width="12.7109375" style="291" bestFit="1" customWidth="1"/>
    <col min="5645" max="5645" width="13.85546875" style="291" bestFit="1" customWidth="1"/>
    <col min="5646" max="5889" width="11.42578125" style="291"/>
    <col min="5890" max="5890" width="38.28515625" style="291" customWidth="1"/>
    <col min="5891" max="5892" width="12.7109375" style="291" bestFit="1" customWidth="1"/>
    <col min="5893" max="5898" width="11.42578125" style="291"/>
    <col min="5899" max="5899" width="55.7109375" style="291" bestFit="1" customWidth="1"/>
    <col min="5900" max="5900" width="12.7109375" style="291" bestFit="1" customWidth="1"/>
    <col min="5901" max="5901" width="13.85546875" style="291" bestFit="1" customWidth="1"/>
    <col min="5902" max="6145" width="11.42578125" style="291"/>
    <col min="6146" max="6146" width="38.28515625" style="291" customWidth="1"/>
    <col min="6147" max="6148" width="12.7109375" style="291" bestFit="1" customWidth="1"/>
    <col min="6149" max="6154" width="11.42578125" style="291"/>
    <col min="6155" max="6155" width="55.7109375" style="291" bestFit="1" customWidth="1"/>
    <col min="6156" max="6156" width="12.7109375" style="291" bestFit="1" customWidth="1"/>
    <col min="6157" max="6157" width="13.85546875" style="291" bestFit="1" customWidth="1"/>
    <col min="6158" max="6401" width="11.42578125" style="291"/>
    <col min="6402" max="6402" width="38.28515625" style="291" customWidth="1"/>
    <col min="6403" max="6404" width="12.7109375" style="291" bestFit="1" customWidth="1"/>
    <col min="6405" max="6410" width="11.42578125" style="291"/>
    <col min="6411" max="6411" width="55.7109375" style="291" bestFit="1" customWidth="1"/>
    <col min="6412" max="6412" width="12.7109375" style="291" bestFit="1" customWidth="1"/>
    <col min="6413" max="6413" width="13.85546875" style="291" bestFit="1" customWidth="1"/>
    <col min="6414" max="6657" width="11.42578125" style="291"/>
    <col min="6658" max="6658" width="38.28515625" style="291" customWidth="1"/>
    <col min="6659" max="6660" width="12.7109375" style="291" bestFit="1" customWidth="1"/>
    <col min="6661" max="6666" width="11.42578125" style="291"/>
    <col min="6667" max="6667" width="55.7109375" style="291" bestFit="1" customWidth="1"/>
    <col min="6668" max="6668" width="12.7109375" style="291" bestFit="1" customWidth="1"/>
    <col min="6669" max="6669" width="13.85546875" style="291" bestFit="1" customWidth="1"/>
    <col min="6670" max="6913" width="11.42578125" style="291"/>
    <col min="6914" max="6914" width="38.28515625" style="291" customWidth="1"/>
    <col min="6915" max="6916" width="12.7109375" style="291" bestFit="1" customWidth="1"/>
    <col min="6917" max="6922" width="11.42578125" style="291"/>
    <col min="6923" max="6923" width="55.7109375" style="291" bestFit="1" customWidth="1"/>
    <col min="6924" max="6924" width="12.7109375" style="291" bestFit="1" customWidth="1"/>
    <col min="6925" max="6925" width="13.85546875" style="291" bestFit="1" customWidth="1"/>
    <col min="6926" max="7169" width="11.42578125" style="291"/>
    <col min="7170" max="7170" width="38.28515625" style="291" customWidth="1"/>
    <col min="7171" max="7172" width="12.7109375" style="291" bestFit="1" customWidth="1"/>
    <col min="7173" max="7178" width="11.42578125" style="291"/>
    <col min="7179" max="7179" width="55.7109375" style="291" bestFit="1" customWidth="1"/>
    <col min="7180" max="7180" width="12.7109375" style="291" bestFit="1" customWidth="1"/>
    <col min="7181" max="7181" width="13.85546875" style="291" bestFit="1" customWidth="1"/>
    <col min="7182" max="7425" width="11.42578125" style="291"/>
    <col min="7426" max="7426" width="38.28515625" style="291" customWidth="1"/>
    <col min="7427" max="7428" width="12.7109375" style="291" bestFit="1" customWidth="1"/>
    <col min="7429" max="7434" width="11.42578125" style="291"/>
    <col min="7435" max="7435" width="55.7109375" style="291" bestFit="1" customWidth="1"/>
    <col min="7436" max="7436" width="12.7109375" style="291" bestFit="1" customWidth="1"/>
    <col min="7437" max="7437" width="13.85546875" style="291" bestFit="1" customWidth="1"/>
    <col min="7438" max="7681" width="11.42578125" style="291"/>
    <col min="7682" max="7682" width="38.28515625" style="291" customWidth="1"/>
    <col min="7683" max="7684" width="12.7109375" style="291" bestFit="1" customWidth="1"/>
    <col min="7685" max="7690" width="11.42578125" style="291"/>
    <col min="7691" max="7691" width="55.7109375" style="291" bestFit="1" customWidth="1"/>
    <col min="7692" max="7692" width="12.7109375" style="291" bestFit="1" customWidth="1"/>
    <col min="7693" max="7693" width="13.85546875" style="291" bestFit="1" customWidth="1"/>
    <col min="7694" max="7937" width="11.42578125" style="291"/>
    <col min="7938" max="7938" width="38.28515625" style="291" customWidth="1"/>
    <col min="7939" max="7940" width="12.7109375" style="291" bestFit="1" customWidth="1"/>
    <col min="7941" max="7946" width="11.42578125" style="291"/>
    <col min="7947" max="7947" width="55.7109375" style="291" bestFit="1" customWidth="1"/>
    <col min="7948" max="7948" width="12.7109375" style="291" bestFit="1" customWidth="1"/>
    <col min="7949" max="7949" width="13.85546875" style="291" bestFit="1" customWidth="1"/>
    <col min="7950" max="8193" width="11.42578125" style="291"/>
    <col min="8194" max="8194" width="38.28515625" style="291" customWidth="1"/>
    <col min="8195" max="8196" width="12.7109375" style="291" bestFit="1" customWidth="1"/>
    <col min="8197" max="8202" width="11.42578125" style="291"/>
    <col min="8203" max="8203" width="55.7109375" style="291" bestFit="1" customWidth="1"/>
    <col min="8204" max="8204" width="12.7109375" style="291" bestFit="1" customWidth="1"/>
    <col min="8205" max="8205" width="13.85546875" style="291" bestFit="1" customWidth="1"/>
    <col min="8206" max="8449" width="11.42578125" style="291"/>
    <col min="8450" max="8450" width="38.28515625" style="291" customWidth="1"/>
    <col min="8451" max="8452" width="12.7109375" style="291" bestFit="1" customWidth="1"/>
    <col min="8453" max="8458" width="11.42578125" style="291"/>
    <col min="8459" max="8459" width="55.7109375" style="291" bestFit="1" customWidth="1"/>
    <col min="8460" max="8460" width="12.7109375" style="291" bestFit="1" customWidth="1"/>
    <col min="8461" max="8461" width="13.85546875" style="291" bestFit="1" customWidth="1"/>
    <col min="8462" max="8705" width="11.42578125" style="291"/>
    <col min="8706" max="8706" width="38.28515625" style="291" customWidth="1"/>
    <col min="8707" max="8708" width="12.7109375" style="291" bestFit="1" customWidth="1"/>
    <col min="8709" max="8714" width="11.42578125" style="291"/>
    <col min="8715" max="8715" width="55.7109375" style="291" bestFit="1" customWidth="1"/>
    <col min="8716" max="8716" width="12.7109375" style="291" bestFit="1" customWidth="1"/>
    <col min="8717" max="8717" width="13.85546875" style="291" bestFit="1" customWidth="1"/>
    <col min="8718" max="8961" width="11.42578125" style="291"/>
    <col min="8962" max="8962" width="38.28515625" style="291" customWidth="1"/>
    <col min="8963" max="8964" width="12.7109375" style="291" bestFit="1" customWidth="1"/>
    <col min="8965" max="8970" width="11.42578125" style="291"/>
    <col min="8971" max="8971" width="55.7109375" style="291" bestFit="1" customWidth="1"/>
    <col min="8972" max="8972" width="12.7109375" style="291" bestFit="1" customWidth="1"/>
    <col min="8973" max="8973" width="13.85546875" style="291" bestFit="1" customWidth="1"/>
    <col min="8974" max="9217" width="11.42578125" style="291"/>
    <col min="9218" max="9218" width="38.28515625" style="291" customWidth="1"/>
    <col min="9219" max="9220" width="12.7109375" style="291" bestFit="1" customWidth="1"/>
    <col min="9221" max="9226" width="11.42578125" style="291"/>
    <col min="9227" max="9227" width="55.7109375" style="291" bestFit="1" customWidth="1"/>
    <col min="9228" max="9228" width="12.7109375" style="291" bestFit="1" customWidth="1"/>
    <col min="9229" max="9229" width="13.85546875" style="291" bestFit="1" customWidth="1"/>
    <col min="9230" max="9473" width="11.42578125" style="291"/>
    <col min="9474" max="9474" width="38.28515625" style="291" customWidth="1"/>
    <col min="9475" max="9476" width="12.7109375" style="291" bestFit="1" customWidth="1"/>
    <col min="9477" max="9482" width="11.42578125" style="291"/>
    <col min="9483" max="9483" width="55.7109375" style="291" bestFit="1" customWidth="1"/>
    <col min="9484" max="9484" width="12.7109375" style="291" bestFit="1" customWidth="1"/>
    <col min="9485" max="9485" width="13.85546875" style="291" bestFit="1" customWidth="1"/>
    <col min="9486" max="9729" width="11.42578125" style="291"/>
    <col min="9730" max="9730" width="38.28515625" style="291" customWidth="1"/>
    <col min="9731" max="9732" width="12.7109375" style="291" bestFit="1" customWidth="1"/>
    <col min="9733" max="9738" width="11.42578125" style="291"/>
    <col min="9739" max="9739" width="55.7109375" style="291" bestFit="1" customWidth="1"/>
    <col min="9740" max="9740" width="12.7109375" style="291" bestFit="1" customWidth="1"/>
    <col min="9741" max="9741" width="13.85546875" style="291" bestFit="1" customWidth="1"/>
    <col min="9742" max="9985" width="11.42578125" style="291"/>
    <col min="9986" max="9986" width="38.28515625" style="291" customWidth="1"/>
    <col min="9987" max="9988" width="12.7109375" style="291" bestFit="1" customWidth="1"/>
    <col min="9989" max="9994" width="11.42578125" style="291"/>
    <col min="9995" max="9995" width="55.7109375" style="291" bestFit="1" customWidth="1"/>
    <col min="9996" max="9996" width="12.7109375" style="291" bestFit="1" customWidth="1"/>
    <col min="9997" max="9997" width="13.85546875" style="291" bestFit="1" customWidth="1"/>
    <col min="9998" max="10241" width="11.42578125" style="291"/>
    <col min="10242" max="10242" width="38.28515625" style="291" customWidth="1"/>
    <col min="10243" max="10244" width="12.7109375" style="291" bestFit="1" customWidth="1"/>
    <col min="10245" max="10250" width="11.42578125" style="291"/>
    <col min="10251" max="10251" width="55.7109375" style="291" bestFit="1" customWidth="1"/>
    <col min="10252" max="10252" width="12.7109375" style="291" bestFit="1" customWidth="1"/>
    <col min="10253" max="10253" width="13.85546875" style="291" bestFit="1" customWidth="1"/>
    <col min="10254" max="10497" width="11.42578125" style="291"/>
    <col min="10498" max="10498" width="38.28515625" style="291" customWidth="1"/>
    <col min="10499" max="10500" width="12.7109375" style="291" bestFit="1" customWidth="1"/>
    <col min="10501" max="10506" width="11.42578125" style="291"/>
    <col min="10507" max="10507" width="55.7109375" style="291" bestFit="1" customWidth="1"/>
    <col min="10508" max="10508" width="12.7109375" style="291" bestFit="1" customWidth="1"/>
    <col min="10509" max="10509" width="13.85546875" style="291" bestFit="1" customWidth="1"/>
    <col min="10510" max="10753" width="11.42578125" style="291"/>
    <col min="10754" max="10754" width="38.28515625" style="291" customWidth="1"/>
    <col min="10755" max="10756" width="12.7109375" style="291" bestFit="1" customWidth="1"/>
    <col min="10757" max="10762" width="11.42578125" style="291"/>
    <col min="10763" max="10763" width="55.7109375" style="291" bestFit="1" customWidth="1"/>
    <col min="10764" max="10764" width="12.7109375" style="291" bestFit="1" customWidth="1"/>
    <col min="10765" max="10765" width="13.85546875" style="291" bestFit="1" customWidth="1"/>
    <col min="10766" max="11009" width="11.42578125" style="291"/>
    <col min="11010" max="11010" width="38.28515625" style="291" customWidth="1"/>
    <col min="11011" max="11012" width="12.7109375" style="291" bestFit="1" customWidth="1"/>
    <col min="11013" max="11018" width="11.42578125" style="291"/>
    <col min="11019" max="11019" width="55.7109375" style="291" bestFit="1" customWidth="1"/>
    <col min="11020" max="11020" width="12.7109375" style="291" bestFit="1" customWidth="1"/>
    <col min="11021" max="11021" width="13.85546875" style="291" bestFit="1" customWidth="1"/>
    <col min="11022" max="11265" width="11.42578125" style="291"/>
    <col min="11266" max="11266" width="38.28515625" style="291" customWidth="1"/>
    <col min="11267" max="11268" width="12.7109375" style="291" bestFit="1" customWidth="1"/>
    <col min="11269" max="11274" width="11.42578125" style="291"/>
    <col min="11275" max="11275" width="55.7109375" style="291" bestFit="1" customWidth="1"/>
    <col min="11276" max="11276" width="12.7109375" style="291" bestFit="1" customWidth="1"/>
    <col min="11277" max="11277" width="13.85546875" style="291" bestFit="1" customWidth="1"/>
    <col min="11278" max="11521" width="11.42578125" style="291"/>
    <col min="11522" max="11522" width="38.28515625" style="291" customWidth="1"/>
    <col min="11523" max="11524" width="12.7109375" style="291" bestFit="1" customWidth="1"/>
    <col min="11525" max="11530" width="11.42578125" style="291"/>
    <col min="11531" max="11531" width="55.7109375" style="291" bestFit="1" customWidth="1"/>
    <col min="11532" max="11532" width="12.7109375" style="291" bestFit="1" customWidth="1"/>
    <col min="11533" max="11533" width="13.85546875" style="291" bestFit="1" customWidth="1"/>
    <col min="11534" max="11777" width="11.42578125" style="291"/>
    <col min="11778" max="11778" width="38.28515625" style="291" customWidth="1"/>
    <col min="11779" max="11780" width="12.7109375" style="291" bestFit="1" customWidth="1"/>
    <col min="11781" max="11786" width="11.42578125" style="291"/>
    <col min="11787" max="11787" width="55.7109375" style="291" bestFit="1" customWidth="1"/>
    <col min="11788" max="11788" width="12.7109375" style="291" bestFit="1" customWidth="1"/>
    <col min="11789" max="11789" width="13.85546875" style="291" bestFit="1" customWidth="1"/>
    <col min="11790" max="12033" width="11.42578125" style="291"/>
    <col min="12034" max="12034" width="38.28515625" style="291" customWidth="1"/>
    <col min="12035" max="12036" width="12.7109375" style="291" bestFit="1" customWidth="1"/>
    <col min="12037" max="12042" width="11.42578125" style="291"/>
    <col min="12043" max="12043" width="55.7109375" style="291" bestFit="1" customWidth="1"/>
    <col min="12044" max="12044" width="12.7109375" style="291" bestFit="1" customWidth="1"/>
    <col min="12045" max="12045" width="13.85546875" style="291" bestFit="1" customWidth="1"/>
    <col min="12046" max="12289" width="11.42578125" style="291"/>
    <col min="12290" max="12290" width="38.28515625" style="291" customWidth="1"/>
    <col min="12291" max="12292" width="12.7109375" style="291" bestFit="1" customWidth="1"/>
    <col min="12293" max="12298" width="11.42578125" style="291"/>
    <col min="12299" max="12299" width="55.7109375" style="291" bestFit="1" customWidth="1"/>
    <col min="12300" max="12300" width="12.7109375" style="291" bestFit="1" customWidth="1"/>
    <col min="12301" max="12301" width="13.85546875" style="291" bestFit="1" customWidth="1"/>
    <col min="12302" max="12545" width="11.42578125" style="291"/>
    <col min="12546" max="12546" width="38.28515625" style="291" customWidth="1"/>
    <col min="12547" max="12548" width="12.7109375" style="291" bestFit="1" customWidth="1"/>
    <col min="12549" max="12554" width="11.42578125" style="291"/>
    <col min="12555" max="12555" width="55.7109375" style="291" bestFit="1" customWidth="1"/>
    <col min="12556" max="12556" width="12.7109375" style="291" bestFit="1" customWidth="1"/>
    <col min="12557" max="12557" width="13.85546875" style="291" bestFit="1" customWidth="1"/>
    <col min="12558" max="12801" width="11.42578125" style="291"/>
    <col min="12802" max="12802" width="38.28515625" style="291" customWidth="1"/>
    <col min="12803" max="12804" width="12.7109375" style="291" bestFit="1" customWidth="1"/>
    <col min="12805" max="12810" width="11.42578125" style="291"/>
    <col min="12811" max="12811" width="55.7109375" style="291" bestFit="1" customWidth="1"/>
    <col min="12812" max="12812" width="12.7109375" style="291" bestFit="1" customWidth="1"/>
    <col min="12813" max="12813" width="13.85546875" style="291" bestFit="1" customWidth="1"/>
    <col min="12814" max="13057" width="11.42578125" style="291"/>
    <col min="13058" max="13058" width="38.28515625" style="291" customWidth="1"/>
    <col min="13059" max="13060" width="12.7109375" style="291" bestFit="1" customWidth="1"/>
    <col min="13061" max="13066" width="11.42578125" style="291"/>
    <col min="13067" max="13067" width="55.7109375" style="291" bestFit="1" customWidth="1"/>
    <col min="13068" max="13068" width="12.7109375" style="291" bestFit="1" customWidth="1"/>
    <col min="13069" max="13069" width="13.85546875" style="291" bestFit="1" customWidth="1"/>
    <col min="13070" max="13313" width="11.42578125" style="291"/>
    <col min="13314" max="13314" width="38.28515625" style="291" customWidth="1"/>
    <col min="13315" max="13316" width="12.7109375" style="291" bestFit="1" customWidth="1"/>
    <col min="13317" max="13322" width="11.42578125" style="291"/>
    <col min="13323" max="13323" width="55.7109375" style="291" bestFit="1" customWidth="1"/>
    <col min="13324" max="13324" width="12.7109375" style="291" bestFit="1" customWidth="1"/>
    <col min="13325" max="13325" width="13.85546875" style="291" bestFit="1" customWidth="1"/>
    <col min="13326" max="13569" width="11.42578125" style="291"/>
    <col min="13570" max="13570" width="38.28515625" style="291" customWidth="1"/>
    <col min="13571" max="13572" width="12.7109375" style="291" bestFit="1" customWidth="1"/>
    <col min="13573" max="13578" width="11.42578125" style="291"/>
    <col min="13579" max="13579" width="55.7109375" style="291" bestFit="1" customWidth="1"/>
    <col min="13580" max="13580" width="12.7109375" style="291" bestFit="1" customWidth="1"/>
    <col min="13581" max="13581" width="13.85546875" style="291" bestFit="1" customWidth="1"/>
    <col min="13582" max="13825" width="11.42578125" style="291"/>
    <col min="13826" max="13826" width="38.28515625" style="291" customWidth="1"/>
    <col min="13827" max="13828" width="12.7109375" style="291" bestFit="1" customWidth="1"/>
    <col min="13829" max="13834" width="11.42578125" style="291"/>
    <col min="13835" max="13835" width="55.7109375" style="291" bestFit="1" customWidth="1"/>
    <col min="13836" max="13836" width="12.7109375" style="291" bestFit="1" customWidth="1"/>
    <col min="13837" max="13837" width="13.85546875" style="291" bestFit="1" customWidth="1"/>
    <col min="13838" max="14081" width="11.42578125" style="291"/>
    <col min="14082" max="14082" width="38.28515625" style="291" customWidth="1"/>
    <col min="14083" max="14084" width="12.7109375" style="291" bestFit="1" customWidth="1"/>
    <col min="14085" max="14090" width="11.42578125" style="291"/>
    <col min="14091" max="14091" width="55.7109375" style="291" bestFit="1" customWidth="1"/>
    <col min="14092" max="14092" width="12.7109375" style="291" bestFit="1" customWidth="1"/>
    <col min="14093" max="14093" width="13.85546875" style="291" bestFit="1" customWidth="1"/>
    <col min="14094" max="14337" width="11.42578125" style="291"/>
    <col min="14338" max="14338" width="38.28515625" style="291" customWidth="1"/>
    <col min="14339" max="14340" width="12.7109375" style="291" bestFit="1" customWidth="1"/>
    <col min="14341" max="14346" width="11.42578125" style="291"/>
    <col min="14347" max="14347" width="55.7109375" style="291" bestFit="1" customWidth="1"/>
    <col min="14348" max="14348" width="12.7109375" style="291" bestFit="1" customWidth="1"/>
    <col min="14349" max="14349" width="13.85546875" style="291" bestFit="1" customWidth="1"/>
    <col min="14350" max="14593" width="11.42578125" style="291"/>
    <col min="14594" max="14594" width="38.28515625" style="291" customWidth="1"/>
    <col min="14595" max="14596" width="12.7109375" style="291" bestFit="1" customWidth="1"/>
    <col min="14597" max="14602" width="11.42578125" style="291"/>
    <col min="14603" max="14603" width="55.7109375" style="291" bestFit="1" customWidth="1"/>
    <col min="14604" max="14604" width="12.7109375" style="291" bestFit="1" customWidth="1"/>
    <col min="14605" max="14605" width="13.85546875" style="291" bestFit="1" customWidth="1"/>
    <col min="14606" max="14849" width="11.42578125" style="291"/>
    <col min="14850" max="14850" width="38.28515625" style="291" customWidth="1"/>
    <col min="14851" max="14852" width="12.7109375" style="291" bestFit="1" customWidth="1"/>
    <col min="14853" max="14858" width="11.42578125" style="291"/>
    <col min="14859" max="14859" width="55.7109375" style="291" bestFit="1" customWidth="1"/>
    <col min="14860" max="14860" width="12.7109375" style="291" bestFit="1" customWidth="1"/>
    <col min="14861" max="14861" width="13.85546875" style="291" bestFit="1" customWidth="1"/>
    <col min="14862" max="15105" width="11.42578125" style="291"/>
    <col min="15106" max="15106" width="38.28515625" style="291" customWidth="1"/>
    <col min="15107" max="15108" width="12.7109375" style="291" bestFit="1" customWidth="1"/>
    <col min="15109" max="15114" width="11.42578125" style="291"/>
    <col min="15115" max="15115" width="55.7109375" style="291" bestFit="1" customWidth="1"/>
    <col min="15116" max="15116" width="12.7109375" style="291" bestFit="1" customWidth="1"/>
    <col min="15117" max="15117" width="13.85546875" style="291" bestFit="1" customWidth="1"/>
    <col min="15118" max="15361" width="11.42578125" style="291"/>
    <col min="15362" max="15362" width="38.28515625" style="291" customWidth="1"/>
    <col min="15363" max="15364" width="12.7109375" style="291" bestFit="1" customWidth="1"/>
    <col min="15365" max="15370" width="11.42578125" style="291"/>
    <col min="15371" max="15371" width="55.7109375" style="291" bestFit="1" customWidth="1"/>
    <col min="15372" max="15372" width="12.7109375" style="291" bestFit="1" customWidth="1"/>
    <col min="15373" max="15373" width="13.85546875" style="291" bestFit="1" customWidth="1"/>
    <col min="15374" max="15617" width="11.42578125" style="291"/>
    <col min="15618" max="15618" width="38.28515625" style="291" customWidth="1"/>
    <col min="15619" max="15620" width="12.7109375" style="291" bestFit="1" customWidth="1"/>
    <col min="15621" max="15626" width="11.42578125" style="291"/>
    <col min="15627" max="15627" width="55.7109375" style="291" bestFit="1" customWidth="1"/>
    <col min="15628" max="15628" width="12.7109375" style="291" bestFit="1" customWidth="1"/>
    <col min="15629" max="15629" width="13.85546875" style="291" bestFit="1" customWidth="1"/>
    <col min="15630" max="15873" width="11.42578125" style="291"/>
    <col min="15874" max="15874" width="38.28515625" style="291" customWidth="1"/>
    <col min="15875" max="15876" width="12.7109375" style="291" bestFit="1" customWidth="1"/>
    <col min="15877" max="15882" width="11.42578125" style="291"/>
    <col min="15883" max="15883" width="55.7109375" style="291" bestFit="1" customWidth="1"/>
    <col min="15884" max="15884" width="12.7109375" style="291" bestFit="1" customWidth="1"/>
    <col min="15885" max="15885" width="13.85546875" style="291" bestFit="1" customWidth="1"/>
    <col min="15886" max="16129" width="11.42578125" style="291"/>
    <col min="16130" max="16130" width="38.28515625" style="291" customWidth="1"/>
    <col min="16131" max="16132" width="12.7109375" style="291" bestFit="1" customWidth="1"/>
    <col min="16133" max="16138" width="11.42578125" style="291"/>
    <col min="16139" max="16139" width="55.7109375" style="291" bestFit="1" customWidth="1"/>
    <col min="16140" max="16140" width="12.7109375" style="291" bestFit="1" customWidth="1"/>
    <col min="16141" max="16141" width="13.85546875" style="291" bestFit="1" customWidth="1"/>
    <col min="16142" max="16384" width="11.42578125" style="291"/>
  </cols>
  <sheetData>
    <row r="3" spans="2:14">
      <c r="E3" s="580" t="s">
        <v>542</v>
      </c>
      <c r="F3" s="580"/>
      <c r="G3" s="580"/>
      <c r="H3" s="580"/>
      <c r="I3" s="580"/>
      <c r="J3" s="580"/>
      <c r="K3" s="580"/>
      <c r="L3" s="580"/>
      <c r="M3" s="580"/>
      <c r="N3" s="580"/>
    </row>
    <row r="4" spans="2:14">
      <c r="E4" s="580"/>
      <c r="F4" s="580"/>
      <c r="G4" s="580"/>
      <c r="H4" s="580"/>
      <c r="I4" s="580"/>
      <c r="J4" s="580"/>
      <c r="K4" s="580"/>
      <c r="L4" s="580"/>
      <c r="M4" s="580"/>
      <c r="N4" s="580"/>
    </row>
    <row r="8" spans="2:14">
      <c r="B8" s="568" t="s">
        <v>420</v>
      </c>
      <c r="C8" s="568"/>
      <c r="D8" s="568"/>
      <c r="E8" s="568"/>
      <c r="K8" s="568" t="s">
        <v>421</v>
      </c>
      <c r="L8" s="568"/>
      <c r="M8" s="568"/>
      <c r="N8" s="568"/>
    </row>
    <row r="9" spans="2:14" ht="15.75" thickBot="1">
      <c r="B9" s="579" t="s">
        <v>543</v>
      </c>
      <c r="C9" s="579"/>
      <c r="D9" s="579"/>
      <c r="E9" s="579"/>
      <c r="K9" s="579" t="s">
        <v>543</v>
      </c>
      <c r="L9" s="579"/>
      <c r="M9" s="579"/>
      <c r="N9" s="579"/>
    </row>
    <row r="10" spans="2:14" ht="16.5" thickTop="1" thickBot="1">
      <c r="B10" s="423" t="s">
        <v>544</v>
      </c>
      <c r="C10" s="574" t="s">
        <v>545</v>
      </c>
      <c r="D10" s="575"/>
      <c r="E10" s="576"/>
      <c r="K10" s="572" t="s">
        <v>546</v>
      </c>
      <c r="L10" s="574" t="s">
        <v>545</v>
      </c>
      <c r="M10" s="575"/>
      <c r="N10" s="576"/>
    </row>
    <row r="11" spans="2:14" ht="15.75" thickTop="1">
      <c r="B11" s="424"/>
      <c r="C11" s="425" t="s">
        <v>418</v>
      </c>
      <c r="D11" s="425" t="s">
        <v>465</v>
      </c>
      <c r="E11" s="426" t="s">
        <v>547</v>
      </c>
      <c r="K11" s="573"/>
      <c r="L11" s="425" t="s">
        <v>418</v>
      </c>
      <c r="M11" s="425" t="s">
        <v>465</v>
      </c>
      <c r="N11" s="425" t="s">
        <v>548</v>
      </c>
    </row>
    <row r="12" spans="2:14">
      <c r="B12" s="397" t="s">
        <v>41</v>
      </c>
      <c r="C12" s="398">
        <v>17385623</v>
      </c>
      <c r="D12" s="398">
        <v>56197001</v>
      </c>
      <c r="E12" s="400" t="s">
        <v>159</v>
      </c>
      <c r="K12" s="397" t="s">
        <v>33</v>
      </c>
      <c r="L12" s="398">
        <v>12511531</v>
      </c>
      <c r="M12" s="398">
        <v>38698814</v>
      </c>
      <c r="N12" s="400" t="s">
        <v>159</v>
      </c>
    </row>
    <row r="13" spans="2:14">
      <c r="B13" s="397" t="s">
        <v>33</v>
      </c>
      <c r="C13" s="398">
        <v>13606106</v>
      </c>
      <c r="D13" s="398">
        <v>21490781</v>
      </c>
      <c r="E13" s="400">
        <f t="shared" ref="E13:E23" si="0">+D13/C13-1</f>
        <v>0.57949533834294686</v>
      </c>
      <c r="K13" s="397" t="s">
        <v>40</v>
      </c>
      <c r="L13" s="398">
        <v>15673895</v>
      </c>
      <c r="M13" s="398">
        <v>11523034</v>
      </c>
      <c r="N13" s="399">
        <f t="shared" ref="N13:N23" si="1">+M13/L13-1</f>
        <v>-0.26482638808030801</v>
      </c>
    </row>
    <row r="14" spans="2:14">
      <c r="B14" s="397" t="s">
        <v>40</v>
      </c>
      <c r="C14" s="398">
        <v>13533136</v>
      </c>
      <c r="D14" s="398">
        <v>7853930</v>
      </c>
      <c r="E14" s="399">
        <f t="shared" si="0"/>
        <v>-0.41965188260873165</v>
      </c>
      <c r="K14" s="397" t="s">
        <v>212</v>
      </c>
      <c r="L14" s="398">
        <v>468184.88</v>
      </c>
      <c r="M14" s="398">
        <v>10031241.139999999</v>
      </c>
      <c r="N14" s="400" t="s">
        <v>159</v>
      </c>
    </row>
    <row r="15" spans="2:14">
      <c r="B15" s="397" t="s">
        <v>355</v>
      </c>
      <c r="C15" s="398">
        <v>5375071</v>
      </c>
      <c r="D15" s="398">
        <v>5038316</v>
      </c>
      <c r="E15" s="399">
        <f t="shared" si="0"/>
        <v>-6.2651265443749438E-2</v>
      </c>
      <c r="K15" s="397" t="s">
        <v>41</v>
      </c>
      <c r="L15" s="398">
        <v>34710850</v>
      </c>
      <c r="M15" s="398">
        <v>7155156</v>
      </c>
      <c r="N15" s="399">
        <f t="shared" si="1"/>
        <v>-0.79386399353516257</v>
      </c>
    </row>
    <row r="16" spans="2:14">
      <c r="B16" s="397" t="s">
        <v>35</v>
      </c>
      <c r="C16" s="398">
        <v>10438206.149999999</v>
      </c>
      <c r="D16" s="398">
        <v>4776766.17</v>
      </c>
      <c r="E16" s="399">
        <f t="shared" si="0"/>
        <v>-0.54237671671199927</v>
      </c>
      <c r="K16" s="397" t="s">
        <v>37</v>
      </c>
      <c r="L16" s="398">
        <v>2986748</v>
      </c>
      <c r="M16" s="398">
        <v>2960605</v>
      </c>
      <c r="N16" s="399">
        <f t="shared" si="1"/>
        <v>-8.7529982442442478E-3</v>
      </c>
    </row>
    <row r="17" spans="2:14">
      <c r="B17" s="397" t="s">
        <v>49</v>
      </c>
      <c r="C17" s="398">
        <v>7667</v>
      </c>
      <c r="D17" s="398">
        <v>2333075</v>
      </c>
      <c r="E17" s="400" t="s">
        <v>159</v>
      </c>
      <c r="K17" s="397" t="s">
        <v>355</v>
      </c>
      <c r="L17" s="398">
        <v>434053</v>
      </c>
      <c r="M17" s="398">
        <v>2392046</v>
      </c>
      <c r="N17" s="400" t="s">
        <v>159</v>
      </c>
    </row>
    <row r="18" spans="2:14">
      <c r="B18" s="397" t="s">
        <v>34</v>
      </c>
      <c r="C18" s="398">
        <v>3500166</v>
      </c>
      <c r="D18" s="398">
        <v>1822584</v>
      </c>
      <c r="E18" s="399">
        <f t="shared" si="0"/>
        <v>-0.47928641098736458</v>
      </c>
      <c r="K18" s="397" t="s">
        <v>52</v>
      </c>
      <c r="L18" s="398">
        <v>602124</v>
      </c>
      <c r="M18" s="398">
        <v>1909718</v>
      </c>
      <c r="N18" s="400" t="s">
        <v>159</v>
      </c>
    </row>
    <row r="19" spans="2:14">
      <c r="B19" s="397" t="s">
        <v>493</v>
      </c>
      <c r="C19" s="398">
        <v>1291724</v>
      </c>
      <c r="D19" s="398">
        <v>1477796.25</v>
      </c>
      <c r="E19" s="400">
        <f t="shared" si="0"/>
        <v>0.14404954154293015</v>
      </c>
      <c r="K19" s="397" t="s">
        <v>36</v>
      </c>
      <c r="L19" s="398">
        <v>281709</v>
      </c>
      <c r="M19" s="398">
        <v>1897728</v>
      </c>
      <c r="N19" s="400" t="s">
        <v>159</v>
      </c>
    </row>
    <row r="20" spans="2:14">
      <c r="B20" s="397" t="s">
        <v>53</v>
      </c>
      <c r="C20" s="398">
        <v>330434</v>
      </c>
      <c r="D20" s="398">
        <v>961379.62999999989</v>
      </c>
      <c r="E20" s="400" t="s">
        <v>159</v>
      </c>
      <c r="K20" s="397" t="s">
        <v>513</v>
      </c>
      <c r="L20" s="398">
        <v>1378809.05</v>
      </c>
      <c r="M20" s="398">
        <v>1648256.6400000001</v>
      </c>
      <c r="N20" s="400">
        <f t="shared" si="1"/>
        <v>0.19542052614174543</v>
      </c>
    </row>
    <row r="21" spans="2:14">
      <c r="B21" s="397" t="s">
        <v>84</v>
      </c>
      <c r="C21" s="398">
        <v>0</v>
      </c>
      <c r="D21" s="398">
        <v>898237.54</v>
      </c>
      <c r="E21" s="400" t="s">
        <v>159</v>
      </c>
      <c r="K21" s="397" t="s">
        <v>332</v>
      </c>
      <c r="L21" s="398">
        <v>1987011</v>
      </c>
      <c r="M21" s="398">
        <v>1584919.44</v>
      </c>
      <c r="N21" s="399">
        <f t="shared" si="1"/>
        <v>-0.20236000706588941</v>
      </c>
    </row>
    <row r="22" spans="2:14" ht="30">
      <c r="B22" s="427" t="s">
        <v>549</v>
      </c>
      <c r="C22" s="428">
        <f>C23-SUM(C12:C21)</f>
        <v>19631827.590000011</v>
      </c>
      <c r="D22" s="428">
        <f>D23-SUM(D12:D21)</f>
        <v>8707516.8999999613</v>
      </c>
      <c r="E22" s="399">
        <f t="shared" si="0"/>
        <v>-0.55645918037527164</v>
      </c>
      <c r="K22" s="427" t="s">
        <v>550</v>
      </c>
      <c r="L22" s="429">
        <f>L23-SUM(L12:L21)</f>
        <v>47062668.750000015</v>
      </c>
      <c r="M22" s="429">
        <f>M23-SUM(M12:M21)</f>
        <v>19358937.069999993</v>
      </c>
      <c r="N22" s="399">
        <f t="shared" si="1"/>
        <v>-0.5886561985501515</v>
      </c>
    </row>
    <row r="23" spans="2:14">
      <c r="B23" s="430" t="s">
        <v>113</v>
      </c>
      <c r="C23" s="431">
        <v>85099960.74000001</v>
      </c>
      <c r="D23" s="431">
        <v>111557383.48999996</v>
      </c>
      <c r="E23" s="400">
        <f t="shared" si="0"/>
        <v>0.31089817809474063</v>
      </c>
      <c r="K23" s="430" t="s">
        <v>113</v>
      </c>
      <c r="L23" s="398">
        <v>118097583.68000001</v>
      </c>
      <c r="M23" s="398">
        <v>99160455.289999992</v>
      </c>
      <c r="N23" s="399">
        <f t="shared" si="1"/>
        <v>-0.1603515313345657</v>
      </c>
    </row>
    <row r="28" spans="2:14">
      <c r="B28" s="568" t="s">
        <v>551</v>
      </c>
      <c r="C28" s="568"/>
      <c r="D28" s="568"/>
      <c r="E28" s="568"/>
      <c r="K28" s="568" t="s">
        <v>552</v>
      </c>
      <c r="L28" s="568"/>
      <c r="M28" s="568"/>
      <c r="N28" s="568"/>
    </row>
    <row r="29" spans="2:14" ht="15.75" thickBot="1">
      <c r="B29" s="579" t="s">
        <v>543</v>
      </c>
      <c r="C29" s="579"/>
      <c r="D29" s="579"/>
      <c r="E29" s="579"/>
      <c r="K29" s="579" t="s">
        <v>543</v>
      </c>
      <c r="L29" s="579"/>
      <c r="M29" s="579"/>
      <c r="N29" s="579"/>
    </row>
    <row r="30" spans="2:14" ht="15.75" thickTop="1">
      <c r="B30" s="578" t="s">
        <v>546</v>
      </c>
      <c r="C30" s="578" t="s">
        <v>545</v>
      </c>
      <c r="D30" s="578"/>
      <c r="E30" s="578"/>
      <c r="K30" s="572" t="s">
        <v>546</v>
      </c>
      <c r="L30" s="578" t="s">
        <v>545</v>
      </c>
      <c r="M30" s="578"/>
      <c r="N30" s="578"/>
    </row>
    <row r="31" spans="2:14">
      <c r="B31" s="578"/>
      <c r="C31" s="432" t="s">
        <v>418</v>
      </c>
      <c r="D31" s="432" t="s">
        <v>465</v>
      </c>
      <c r="E31" s="433" t="s">
        <v>548</v>
      </c>
      <c r="K31" s="573"/>
      <c r="L31" s="425" t="s">
        <v>418</v>
      </c>
      <c r="M31" s="425" t="s">
        <v>465</v>
      </c>
      <c r="N31" s="426" t="s">
        <v>547</v>
      </c>
    </row>
    <row r="32" spans="2:14">
      <c r="B32" s="397" t="s">
        <v>250</v>
      </c>
      <c r="C32" s="368">
        <v>21652645.550000001</v>
      </c>
      <c r="D32" s="368">
        <v>19503914.109999999</v>
      </c>
      <c r="E32" s="399">
        <f t="shared" ref="E32:E43" si="2">+D32/C32-1</f>
        <v>-9.9236439031811563E-2</v>
      </c>
      <c r="G32" s="434"/>
      <c r="K32" s="397" t="s">
        <v>41</v>
      </c>
      <c r="L32" s="398">
        <v>105578920</v>
      </c>
      <c r="M32" s="398">
        <v>91344065</v>
      </c>
      <c r="N32" s="399">
        <f t="shared" ref="N32:N43" si="3">+M32/L32-1</f>
        <v>-0.1348266775223691</v>
      </c>
    </row>
    <row r="33" spans="2:14">
      <c r="B33" s="397" t="s">
        <v>332</v>
      </c>
      <c r="C33" s="368">
        <v>11044039</v>
      </c>
      <c r="D33" s="368">
        <v>14494143</v>
      </c>
      <c r="E33" s="400">
        <f t="shared" si="2"/>
        <v>0.31239513007876929</v>
      </c>
      <c r="K33" s="397" t="s">
        <v>48</v>
      </c>
      <c r="L33" s="398">
        <v>37575193</v>
      </c>
      <c r="M33" s="398">
        <v>63766272</v>
      </c>
      <c r="N33" s="400">
        <f t="shared" si="3"/>
        <v>0.69703112369908515</v>
      </c>
    </row>
    <row r="34" spans="2:14">
      <c r="B34" s="397" t="s">
        <v>485</v>
      </c>
      <c r="C34" s="368">
        <v>1207413.69</v>
      </c>
      <c r="D34" s="368">
        <v>10015664.109999999</v>
      </c>
      <c r="E34" s="400" t="s">
        <v>159</v>
      </c>
      <c r="K34" s="397" t="s">
        <v>47</v>
      </c>
      <c r="L34" s="398">
        <v>49906130</v>
      </c>
      <c r="M34" s="398">
        <v>50551807</v>
      </c>
      <c r="N34" s="400">
        <f t="shared" si="3"/>
        <v>1.2937829481067809E-2</v>
      </c>
    </row>
    <row r="35" spans="2:14">
      <c r="B35" s="397" t="s">
        <v>491</v>
      </c>
      <c r="C35" s="368">
        <v>3542658</v>
      </c>
      <c r="D35" s="368">
        <v>9517463.379999999</v>
      </c>
      <c r="E35" s="400" t="s">
        <v>159</v>
      </c>
      <c r="K35" s="397" t="s">
        <v>478</v>
      </c>
      <c r="L35" s="398">
        <v>1794325</v>
      </c>
      <c r="M35" s="398">
        <v>17984592</v>
      </c>
      <c r="N35" s="400" t="s">
        <v>159</v>
      </c>
    </row>
    <row r="36" spans="2:14">
      <c r="B36" s="397" t="s">
        <v>47</v>
      </c>
      <c r="C36" s="368">
        <v>6821632</v>
      </c>
      <c r="D36" s="368">
        <v>6565426</v>
      </c>
      <c r="E36" s="399">
        <f t="shared" si="2"/>
        <v>-3.7557874713851414E-2</v>
      </c>
      <c r="K36" s="397" t="s">
        <v>495</v>
      </c>
      <c r="L36" s="398">
        <v>9960100</v>
      </c>
      <c r="M36" s="398">
        <v>6929000</v>
      </c>
      <c r="N36" s="399">
        <f t="shared" si="3"/>
        <v>-0.30432425377255246</v>
      </c>
    </row>
    <row r="37" spans="2:14">
      <c r="B37" s="397" t="s">
        <v>49</v>
      </c>
      <c r="C37" s="368">
        <v>3726060</v>
      </c>
      <c r="D37" s="368">
        <v>3660392</v>
      </c>
      <c r="E37" s="399">
        <f t="shared" si="2"/>
        <v>-1.7623978143132435E-2</v>
      </c>
      <c r="K37" s="397" t="s">
        <v>354</v>
      </c>
      <c r="L37" s="398">
        <v>0</v>
      </c>
      <c r="M37" s="398">
        <v>6567000</v>
      </c>
      <c r="N37" s="400" t="s">
        <v>159</v>
      </c>
    </row>
    <row r="38" spans="2:14">
      <c r="B38" s="397" t="s">
        <v>531</v>
      </c>
      <c r="C38" s="368">
        <v>3935512</v>
      </c>
      <c r="D38" s="368">
        <v>3172252</v>
      </c>
      <c r="E38" s="399">
        <f t="shared" si="2"/>
        <v>-0.19394172854764513</v>
      </c>
      <c r="K38" s="397" t="s">
        <v>507</v>
      </c>
      <c r="L38" s="398">
        <v>5287616.3999999994</v>
      </c>
      <c r="M38" s="398">
        <v>5463669.8399999999</v>
      </c>
      <c r="N38" s="400">
        <f t="shared" si="3"/>
        <v>3.3295425893603126E-2</v>
      </c>
    </row>
    <row r="39" spans="2:14">
      <c r="B39" s="397" t="s">
        <v>39</v>
      </c>
      <c r="C39" s="368">
        <v>4393662</v>
      </c>
      <c r="D39" s="368">
        <v>2619972</v>
      </c>
      <c r="E39" s="399">
        <f t="shared" si="2"/>
        <v>-0.40369286485851663</v>
      </c>
      <c r="K39" s="397" t="s">
        <v>511</v>
      </c>
      <c r="L39" s="398">
        <v>5805563.1399999997</v>
      </c>
      <c r="M39" s="398">
        <v>4957633.2</v>
      </c>
      <c r="N39" s="399">
        <f t="shared" si="3"/>
        <v>-0.14605472708716416</v>
      </c>
    </row>
    <row r="40" spans="2:14">
      <c r="B40" s="397" t="s">
        <v>358</v>
      </c>
      <c r="C40" s="368">
        <v>7923</v>
      </c>
      <c r="D40" s="368">
        <v>2244565</v>
      </c>
      <c r="E40" s="400" t="s">
        <v>159</v>
      </c>
      <c r="K40" s="397" t="s">
        <v>493</v>
      </c>
      <c r="L40" s="398">
        <v>2600946.7400000002</v>
      </c>
      <c r="M40" s="398">
        <v>4045526.65</v>
      </c>
      <c r="N40" s="400">
        <f t="shared" si="3"/>
        <v>0.55540541749040173</v>
      </c>
    </row>
    <row r="41" spans="2:14">
      <c r="B41" s="397" t="s">
        <v>51</v>
      </c>
      <c r="C41" s="368">
        <v>468675</v>
      </c>
      <c r="D41" s="368">
        <v>2110967</v>
      </c>
      <c r="E41" s="400" t="s">
        <v>159</v>
      </c>
      <c r="K41" s="397" t="s">
        <v>49</v>
      </c>
      <c r="L41" s="398">
        <v>5102540</v>
      </c>
      <c r="M41" s="398">
        <v>3987947</v>
      </c>
      <c r="N41" s="399">
        <f t="shared" si="3"/>
        <v>-0.21843885594233459</v>
      </c>
    </row>
    <row r="42" spans="2:14" ht="30">
      <c r="B42" s="427" t="s">
        <v>553</v>
      </c>
      <c r="C42" s="428">
        <f>C43-SUM(C32:C41)</f>
        <v>43613509.509999998</v>
      </c>
      <c r="D42" s="428">
        <f>D43-SUM(D32:D41)</f>
        <v>40179939.440000013</v>
      </c>
      <c r="E42" s="399">
        <f t="shared" si="2"/>
        <v>-7.8727213392738138E-2</v>
      </c>
      <c r="K42" s="427" t="s">
        <v>554</v>
      </c>
      <c r="L42" s="429">
        <f>L43-SUM(L32:L41)</f>
        <v>39427652.930000007</v>
      </c>
      <c r="M42" s="429">
        <f>M43-SUM(M32:M41)</f>
        <v>43735668.799999952</v>
      </c>
      <c r="N42" s="400">
        <f t="shared" si="3"/>
        <v>0.10926381739355406</v>
      </c>
    </row>
    <row r="43" spans="2:14">
      <c r="B43" s="430" t="s">
        <v>113</v>
      </c>
      <c r="C43" s="398">
        <v>100413729.75</v>
      </c>
      <c r="D43" s="398">
        <v>114084698.04000001</v>
      </c>
      <c r="E43" s="400">
        <f t="shared" si="2"/>
        <v>0.13614640472011752</v>
      </c>
      <c r="K43" s="430" t="s">
        <v>113</v>
      </c>
      <c r="L43" s="398">
        <v>263038987.21000001</v>
      </c>
      <c r="M43" s="398">
        <v>299333181.48999995</v>
      </c>
      <c r="N43" s="400">
        <f t="shared" si="3"/>
        <v>0.13798028446263788</v>
      </c>
    </row>
    <row r="47" spans="2:14">
      <c r="B47" s="568" t="s">
        <v>422</v>
      </c>
      <c r="C47" s="568"/>
      <c r="D47" s="568"/>
      <c r="E47" s="568"/>
      <c r="K47" s="568" t="s">
        <v>43</v>
      </c>
      <c r="L47" s="568"/>
      <c r="M47" s="568"/>
      <c r="N47" s="568"/>
    </row>
    <row r="48" spans="2:14" ht="15.75" thickBot="1">
      <c r="B48" s="577" t="s">
        <v>543</v>
      </c>
      <c r="C48" s="577"/>
      <c r="D48" s="577"/>
      <c r="E48" s="577"/>
      <c r="K48" s="577" t="s">
        <v>543</v>
      </c>
      <c r="L48" s="577"/>
      <c r="M48" s="577"/>
      <c r="N48" s="577"/>
    </row>
    <row r="49" spans="2:15" ht="16.5" thickTop="1" thickBot="1">
      <c r="B49" s="572" t="s">
        <v>546</v>
      </c>
      <c r="C49" s="578" t="s">
        <v>545</v>
      </c>
      <c r="D49" s="578"/>
      <c r="E49" s="578"/>
      <c r="K49" s="578" t="s">
        <v>546</v>
      </c>
      <c r="L49" s="578" t="s">
        <v>545</v>
      </c>
      <c r="M49" s="578"/>
      <c r="N49" s="578"/>
    </row>
    <row r="50" spans="2:15" ht="15.75" thickTop="1">
      <c r="B50" s="573"/>
      <c r="C50" s="425" t="s">
        <v>418</v>
      </c>
      <c r="D50" s="425" t="s">
        <v>465</v>
      </c>
      <c r="E50" s="435" t="s">
        <v>547</v>
      </c>
      <c r="K50" s="578"/>
      <c r="L50" s="432" t="s">
        <v>418</v>
      </c>
      <c r="M50" s="432" t="s">
        <v>465</v>
      </c>
      <c r="N50" s="433" t="s">
        <v>547</v>
      </c>
    </row>
    <row r="51" spans="2:15">
      <c r="B51" s="397" t="s">
        <v>40</v>
      </c>
      <c r="C51" s="398">
        <v>53852115</v>
      </c>
      <c r="D51" s="398">
        <v>96708090</v>
      </c>
      <c r="E51" s="400">
        <f t="shared" ref="E51:E61" si="4">+D51/C51-1</f>
        <v>0.7958085768776213</v>
      </c>
      <c r="K51" s="397" t="s">
        <v>300</v>
      </c>
      <c r="L51" s="398">
        <v>130262695</v>
      </c>
      <c r="M51" s="398">
        <v>39366324</v>
      </c>
      <c r="N51" s="399">
        <f t="shared" ref="N51:N62" si="5">+M51/L51-1</f>
        <v>-0.69779280245967579</v>
      </c>
    </row>
    <row r="52" spans="2:15">
      <c r="B52" s="397" t="s">
        <v>39</v>
      </c>
      <c r="C52" s="398">
        <v>23097930</v>
      </c>
      <c r="D52" s="398">
        <v>37152084</v>
      </c>
      <c r="E52" s="400">
        <f t="shared" si="4"/>
        <v>0.60845945935414991</v>
      </c>
      <c r="K52" s="397" t="s">
        <v>480</v>
      </c>
      <c r="L52" s="398">
        <v>18050695</v>
      </c>
      <c r="M52" s="398">
        <v>14277567</v>
      </c>
      <c r="N52" s="399">
        <f t="shared" si="5"/>
        <v>-0.20902951382204393</v>
      </c>
    </row>
    <row r="53" spans="2:15">
      <c r="B53" s="397" t="s">
        <v>35</v>
      </c>
      <c r="C53" s="398">
        <v>13730686.540000001</v>
      </c>
      <c r="D53" s="398">
        <v>19974315.460000001</v>
      </c>
      <c r="E53" s="400">
        <f t="shared" si="4"/>
        <v>0.45472081106878148</v>
      </c>
      <c r="K53" s="397" t="s">
        <v>35</v>
      </c>
      <c r="L53" s="398">
        <v>12338231.990000002</v>
      </c>
      <c r="M53" s="398">
        <v>14265074.58</v>
      </c>
      <c r="N53" s="400">
        <f t="shared" si="5"/>
        <v>0.15616845197607576</v>
      </c>
    </row>
    <row r="54" spans="2:15">
      <c r="B54" s="397" t="s">
        <v>33</v>
      </c>
      <c r="C54" s="398">
        <v>4251603</v>
      </c>
      <c r="D54" s="398">
        <v>17705135</v>
      </c>
      <c r="E54" s="400" t="s">
        <v>159</v>
      </c>
      <c r="K54" s="397" t="s">
        <v>33</v>
      </c>
      <c r="L54" s="398">
        <v>32813509</v>
      </c>
      <c r="M54" s="398">
        <v>9484793</v>
      </c>
      <c r="N54" s="399">
        <f t="shared" si="5"/>
        <v>-0.71094853037509642</v>
      </c>
    </row>
    <row r="55" spans="2:15">
      <c r="B55" s="397" t="s">
        <v>212</v>
      </c>
      <c r="C55" s="398">
        <v>45148352.280000001</v>
      </c>
      <c r="D55" s="398">
        <v>16903479.07</v>
      </c>
      <c r="E55" s="436" t="s">
        <v>85</v>
      </c>
      <c r="K55" s="397" t="s">
        <v>485</v>
      </c>
      <c r="L55" s="398">
        <v>1996024.5500000003</v>
      </c>
      <c r="M55" s="398">
        <v>5507559.3300000001</v>
      </c>
      <c r="N55" s="400" t="s">
        <v>159</v>
      </c>
    </row>
    <row r="56" spans="2:15">
      <c r="B56" s="397" t="s">
        <v>478</v>
      </c>
      <c r="C56" s="398">
        <v>18545711</v>
      </c>
      <c r="D56" s="398">
        <v>13259760</v>
      </c>
      <c r="E56" s="399">
        <f t="shared" si="4"/>
        <v>-0.28502282818922386</v>
      </c>
      <c r="K56" s="397" t="s">
        <v>40</v>
      </c>
      <c r="L56" s="398">
        <v>102646409</v>
      </c>
      <c r="M56" s="398">
        <v>5145448</v>
      </c>
      <c r="N56" s="399" t="s">
        <v>85</v>
      </c>
    </row>
    <row r="57" spans="2:15">
      <c r="B57" s="397" t="s">
        <v>480</v>
      </c>
      <c r="C57" s="398">
        <v>17930030</v>
      </c>
      <c r="D57" s="398">
        <v>10480304</v>
      </c>
      <c r="E57" s="399">
        <f t="shared" si="4"/>
        <v>-0.41548876382248101</v>
      </c>
      <c r="K57" s="397" t="s">
        <v>493</v>
      </c>
      <c r="L57" s="398">
        <v>3615983.99</v>
      </c>
      <c r="M57" s="398">
        <v>4920684.6700000009</v>
      </c>
      <c r="N57" s="400">
        <f t="shared" si="5"/>
        <v>0.36081483867410613</v>
      </c>
    </row>
    <row r="58" spans="2:15">
      <c r="B58" s="397" t="s">
        <v>41</v>
      </c>
      <c r="C58" s="398">
        <v>9001210</v>
      </c>
      <c r="D58" s="398">
        <v>6463989</v>
      </c>
      <c r="E58" s="399">
        <f t="shared" si="4"/>
        <v>-0.28187554784301216</v>
      </c>
      <c r="K58" s="397" t="s">
        <v>37</v>
      </c>
      <c r="L58" s="398">
        <v>8412500</v>
      </c>
      <c r="M58" s="398">
        <v>4027166</v>
      </c>
      <c r="N58" s="399">
        <f t="shared" si="5"/>
        <v>-0.52128784546805351</v>
      </c>
      <c r="O58" s="401"/>
    </row>
    <row r="59" spans="2:15">
      <c r="B59" s="397" t="s">
        <v>42</v>
      </c>
      <c r="C59" s="398">
        <v>3542830</v>
      </c>
      <c r="D59" s="398">
        <v>6153896</v>
      </c>
      <c r="E59" s="400">
        <f t="shared" si="4"/>
        <v>0.73700008185546584</v>
      </c>
      <c r="K59" s="397" t="s">
        <v>397</v>
      </c>
      <c r="L59" s="398">
        <v>1738304</v>
      </c>
      <c r="M59" s="398">
        <v>3813358</v>
      </c>
      <c r="N59" s="400" t="s">
        <v>159</v>
      </c>
    </row>
    <row r="60" spans="2:15">
      <c r="B60" s="397" t="s">
        <v>215</v>
      </c>
      <c r="C60" s="398">
        <v>6950895.3300000001</v>
      </c>
      <c r="D60" s="398">
        <v>6087239.4500000002</v>
      </c>
      <c r="E60" s="399">
        <f t="shared" si="4"/>
        <v>-0.12425102652207543</v>
      </c>
      <c r="K60" s="397" t="s">
        <v>34</v>
      </c>
      <c r="L60" s="398">
        <v>1480073</v>
      </c>
      <c r="M60" s="398">
        <v>3797024</v>
      </c>
      <c r="N60" s="400" t="s">
        <v>159</v>
      </c>
    </row>
    <row r="61" spans="2:15" ht="30">
      <c r="B61" s="427" t="s">
        <v>555</v>
      </c>
      <c r="C61" s="429">
        <f>C62-SUM(C51:C60)</f>
        <v>77624994.749999911</v>
      </c>
      <c r="D61" s="429">
        <f>D62-SUM(D51:D60)</f>
        <v>43433051.810000032</v>
      </c>
      <c r="E61" s="399">
        <f t="shared" si="4"/>
        <v>-0.44047594528178591</v>
      </c>
      <c r="K61" s="427" t="s">
        <v>556</v>
      </c>
      <c r="L61" s="437">
        <f>L62-SUM(L51:L60)</f>
        <v>65831634.189999998</v>
      </c>
      <c r="M61" s="437">
        <f>M62-SUM(M51:M60)</f>
        <v>46137851.210000023</v>
      </c>
      <c r="N61" s="399">
        <f t="shared" si="5"/>
        <v>-0.29915379167347955</v>
      </c>
    </row>
    <row r="62" spans="2:15">
      <c r="B62" s="430" t="s">
        <v>113</v>
      </c>
      <c r="C62" s="398">
        <v>273676357.89999992</v>
      </c>
      <c r="D62" s="398">
        <v>274321343.79000002</v>
      </c>
      <c r="E62" s="400">
        <f>+D62/C62-1</f>
        <v>2.3567468339218411E-3</v>
      </c>
      <c r="K62" s="430" t="s">
        <v>113</v>
      </c>
      <c r="L62" s="398">
        <v>379186059.72000003</v>
      </c>
      <c r="M62" s="398">
        <v>150742849.79000002</v>
      </c>
      <c r="N62" s="399">
        <f t="shared" si="5"/>
        <v>-0.60245677306462131</v>
      </c>
    </row>
    <row r="66" spans="2:5" ht="15.75" thickBot="1">
      <c r="B66" s="568" t="s">
        <v>557</v>
      </c>
      <c r="C66" s="568"/>
      <c r="D66" s="568"/>
      <c r="E66" s="568"/>
    </row>
    <row r="67" spans="2:5" ht="16.5" thickTop="1" thickBot="1">
      <c r="B67" s="569" t="s">
        <v>543</v>
      </c>
      <c r="C67" s="570"/>
      <c r="D67" s="570"/>
      <c r="E67" s="571"/>
    </row>
    <row r="68" spans="2:5" ht="16.5" thickTop="1" thickBot="1">
      <c r="B68" s="572" t="s">
        <v>546</v>
      </c>
      <c r="C68" s="574" t="s">
        <v>558</v>
      </c>
      <c r="D68" s="575"/>
      <c r="E68" s="576"/>
    </row>
    <row r="69" spans="2:5" ht="15.75" thickTop="1">
      <c r="B69" s="573"/>
      <c r="C69" s="425" t="s">
        <v>418</v>
      </c>
      <c r="D69" s="425" t="s">
        <v>465</v>
      </c>
      <c r="E69" s="426" t="s">
        <v>547</v>
      </c>
    </row>
    <row r="70" spans="2:5">
      <c r="B70" s="397" t="s">
        <v>250</v>
      </c>
      <c r="C70" s="398">
        <v>20230766.710000001</v>
      </c>
      <c r="D70" s="398">
        <v>53739057.640000001</v>
      </c>
      <c r="E70" s="400" t="s">
        <v>159</v>
      </c>
    </row>
    <row r="71" spans="2:5">
      <c r="B71" s="397" t="s">
        <v>36</v>
      </c>
      <c r="C71" s="398">
        <v>12087296</v>
      </c>
      <c r="D71" s="398">
        <v>14063760</v>
      </c>
      <c r="E71" s="400">
        <f t="shared" ref="E71:E81" si="6">+D71/C71-1</f>
        <v>0.16351581031853613</v>
      </c>
    </row>
    <row r="72" spans="2:5">
      <c r="B72" s="397" t="s">
        <v>51</v>
      </c>
      <c r="C72" s="398">
        <v>5785870</v>
      </c>
      <c r="D72" s="398">
        <v>11977077</v>
      </c>
      <c r="E72" s="400" t="s">
        <v>159</v>
      </c>
    </row>
    <row r="73" spans="2:5">
      <c r="B73" s="397" t="s">
        <v>37</v>
      </c>
      <c r="C73" s="398">
        <v>8175319.7700000005</v>
      </c>
      <c r="D73" s="398">
        <v>6508529</v>
      </c>
      <c r="E73" s="399">
        <f t="shared" si="6"/>
        <v>-0.20388080428565314</v>
      </c>
    </row>
    <row r="74" spans="2:5">
      <c r="B74" s="397" t="s">
        <v>47</v>
      </c>
      <c r="C74" s="398">
        <v>5709104</v>
      </c>
      <c r="D74" s="398">
        <v>5656927</v>
      </c>
      <c r="E74" s="399">
        <f t="shared" si="6"/>
        <v>-9.1392624832198344E-3</v>
      </c>
    </row>
    <row r="75" spans="2:5">
      <c r="B75" s="397" t="s">
        <v>212</v>
      </c>
      <c r="C75" s="398">
        <v>0</v>
      </c>
      <c r="D75" s="398">
        <v>4350331.01</v>
      </c>
      <c r="E75" s="400" t="s">
        <v>159</v>
      </c>
    </row>
    <row r="76" spans="2:5">
      <c r="B76" s="397" t="s">
        <v>332</v>
      </c>
      <c r="C76" s="398">
        <v>1653810</v>
      </c>
      <c r="D76" s="398">
        <v>3773746</v>
      </c>
      <c r="E76" s="400" t="s">
        <v>159</v>
      </c>
    </row>
    <row r="77" spans="2:5">
      <c r="B77" s="397" t="s">
        <v>52</v>
      </c>
      <c r="C77" s="398">
        <v>2692754</v>
      </c>
      <c r="D77" s="398">
        <v>3158546</v>
      </c>
      <c r="E77" s="400">
        <f t="shared" si="6"/>
        <v>0.17297978203727493</v>
      </c>
    </row>
    <row r="78" spans="2:5">
      <c r="B78" s="397" t="s">
        <v>495</v>
      </c>
      <c r="C78" s="398">
        <v>2492000</v>
      </c>
      <c r="D78" s="398">
        <v>2929000</v>
      </c>
      <c r="E78" s="400">
        <f t="shared" si="6"/>
        <v>0.17536115569823441</v>
      </c>
    </row>
    <row r="79" spans="2:5">
      <c r="B79" s="397" t="s">
        <v>358</v>
      </c>
      <c r="C79" s="398">
        <v>0</v>
      </c>
      <c r="D79" s="398">
        <v>2912876</v>
      </c>
      <c r="E79" s="400" t="s">
        <v>159</v>
      </c>
    </row>
    <row r="80" spans="2:5" ht="30">
      <c r="B80" s="427" t="s">
        <v>559</v>
      </c>
      <c r="C80" s="438">
        <f>C81-SUM(C70:C79)</f>
        <v>53344419.579999983</v>
      </c>
      <c r="D80" s="438">
        <f>D81-SUM(D70:D79)</f>
        <v>21565575.950000003</v>
      </c>
      <c r="E80" s="399">
        <f t="shared" si="6"/>
        <v>-0.59572948548707383</v>
      </c>
    </row>
    <row r="81" spans="2:5">
      <c r="B81" s="430" t="s">
        <v>113</v>
      </c>
      <c r="C81" s="439">
        <v>112171340.05999999</v>
      </c>
      <c r="D81" s="439">
        <v>130635425.60000001</v>
      </c>
      <c r="E81" s="440">
        <f t="shared" si="6"/>
        <v>0.16460608859735171</v>
      </c>
    </row>
    <row r="85" spans="2:5">
      <c r="B85" s="369" t="s">
        <v>436</v>
      </c>
    </row>
    <row r="86" spans="2:5">
      <c r="B86" s="374" t="s">
        <v>437</v>
      </c>
    </row>
    <row r="87" spans="2:5">
      <c r="B87" s="374" t="s">
        <v>438</v>
      </c>
    </row>
    <row r="88" spans="2:5">
      <c r="B88" s="374"/>
    </row>
    <row r="89" spans="2:5">
      <c r="B89" s="378" t="s">
        <v>439</v>
      </c>
    </row>
    <row r="90" spans="2:5">
      <c r="B90" s="381"/>
    </row>
    <row r="91" spans="2:5">
      <c r="B91" s="381" t="s">
        <v>440</v>
      </c>
    </row>
    <row r="93" spans="2:5">
      <c r="B93" s="381" t="s">
        <v>441</v>
      </c>
    </row>
    <row r="94" spans="2:5">
      <c r="B94" s="383" t="s">
        <v>560</v>
      </c>
    </row>
    <row r="95" spans="2:5">
      <c r="B95" s="383"/>
    </row>
  </sheetData>
  <mergeCells count="28">
    <mergeCell ref="C10:E10"/>
    <mergeCell ref="K10:K11"/>
    <mergeCell ref="L10:N10"/>
    <mergeCell ref="E3:N4"/>
    <mergeCell ref="B8:E8"/>
    <mergeCell ref="K8:N8"/>
    <mergeCell ref="B9:E9"/>
    <mergeCell ref="K9:N9"/>
    <mergeCell ref="B28:E28"/>
    <mergeCell ref="K28:N28"/>
    <mergeCell ref="B29:E29"/>
    <mergeCell ref="K29:N29"/>
    <mergeCell ref="B30:B31"/>
    <mergeCell ref="C30:E30"/>
    <mergeCell ref="K30:K31"/>
    <mergeCell ref="L30:N30"/>
    <mergeCell ref="K47:N47"/>
    <mergeCell ref="B48:E48"/>
    <mergeCell ref="K48:N48"/>
    <mergeCell ref="B49:B50"/>
    <mergeCell ref="C49:E49"/>
    <mergeCell ref="K49:K50"/>
    <mergeCell ref="L49:N49"/>
    <mergeCell ref="B66:E66"/>
    <mergeCell ref="B67:E67"/>
    <mergeCell ref="B68:B69"/>
    <mergeCell ref="C68:E68"/>
    <mergeCell ref="B47:E4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4:P46"/>
  <sheetViews>
    <sheetView workbookViewId="0">
      <selection activeCell="C34" sqref="C34"/>
    </sheetView>
  </sheetViews>
  <sheetFormatPr baseColWidth="10" defaultRowHeight="15"/>
  <cols>
    <col min="1" max="2" width="11.42578125" style="291"/>
    <col min="3" max="3" width="16.28515625" style="291" bestFit="1" customWidth="1"/>
    <col min="4" max="258" width="11.42578125" style="291"/>
    <col min="259" max="259" width="16.28515625" style="291" bestFit="1" customWidth="1"/>
    <col min="260" max="514" width="11.42578125" style="291"/>
    <col min="515" max="515" width="16.28515625" style="291" bestFit="1" customWidth="1"/>
    <col min="516" max="770" width="11.42578125" style="291"/>
    <col min="771" max="771" width="16.28515625" style="291" bestFit="1" customWidth="1"/>
    <col min="772" max="1026" width="11.42578125" style="291"/>
    <col min="1027" max="1027" width="16.28515625" style="291" bestFit="1" customWidth="1"/>
    <col min="1028" max="1282" width="11.42578125" style="291"/>
    <col min="1283" max="1283" width="16.28515625" style="291" bestFit="1" customWidth="1"/>
    <col min="1284" max="1538" width="11.42578125" style="291"/>
    <col min="1539" max="1539" width="16.28515625" style="291" bestFit="1" customWidth="1"/>
    <col min="1540" max="1794" width="11.42578125" style="291"/>
    <col min="1795" max="1795" width="16.28515625" style="291" bestFit="1" customWidth="1"/>
    <col min="1796" max="2050" width="11.42578125" style="291"/>
    <col min="2051" max="2051" width="16.28515625" style="291" bestFit="1" customWidth="1"/>
    <col min="2052" max="2306" width="11.42578125" style="291"/>
    <col min="2307" max="2307" width="16.28515625" style="291" bestFit="1" customWidth="1"/>
    <col min="2308" max="2562" width="11.42578125" style="291"/>
    <col min="2563" max="2563" width="16.28515625" style="291" bestFit="1" customWidth="1"/>
    <col min="2564" max="2818" width="11.42578125" style="291"/>
    <col min="2819" max="2819" width="16.28515625" style="291" bestFit="1" customWidth="1"/>
    <col min="2820" max="3074" width="11.42578125" style="291"/>
    <col min="3075" max="3075" width="16.28515625" style="291" bestFit="1" customWidth="1"/>
    <col min="3076" max="3330" width="11.42578125" style="291"/>
    <col min="3331" max="3331" width="16.28515625" style="291" bestFit="1" customWidth="1"/>
    <col min="3332" max="3586" width="11.42578125" style="291"/>
    <col min="3587" max="3587" width="16.28515625" style="291" bestFit="1" customWidth="1"/>
    <col min="3588" max="3842" width="11.42578125" style="291"/>
    <col min="3843" max="3843" width="16.28515625" style="291" bestFit="1" customWidth="1"/>
    <col min="3844" max="4098" width="11.42578125" style="291"/>
    <col min="4099" max="4099" width="16.28515625" style="291" bestFit="1" customWidth="1"/>
    <col min="4100" max="4354" width="11.42578125" style="291"/>
    <col min="4355" max="4355" width="16.28515625" style="291" bestFit="1" customWidth="1"/>
    <col min="4356" max="4610" width="11.42578125" style="291"/>
    <col min="4611" max="4611" width="16.28515625" style="291" bestFit="1" customWidth="1"/>
    <col min="4612" max="4866" width="11.42578125" style="291"/>
    <col min="4867" max="4867" width="16.28515625" style="291" bestFit="1" customWidth="1"/>
    <col min="4868" max="5122" width="11.42578125" style="291"/>
    <col min="5123" max="5123" width="16.28515625" style="291" bestFit="1" customWidth="1"/>
    <col min="5124" max="5378" width="11.42578125" style="291"/>
    <col min="5379" max="5379" width="16.28515625" style="291" bestFit="1" customWidth="1"/>
    <col min="5380" max="5634" width="11.42578125" style="291"/>
    <col min="5635" max="5635" width="16.28515625" style="291" bestFit="1" customWidth="1"/>
    <col min="5636" max="5890" width="11.42578125" style="291"/>
    <col min="5891" max="5891" width="16.28515625" style="291" bestFit="1" customWidth="1"/>
    <col min="5892" max="6146" width="11.42578125" style="291"/>
    <col min="6147" max="6147" width="16.28515625" style="291" bestFit="1" customWidth="1"/>
    <col min="6148" max="6402" width="11.42578125" style="291"/>
    <col min="6403" max="6403" width="16.28515625" style="291" bestFit="1" customWidth="1"/>
    <col min="6404" max="6658" width="11.42578125" style="291"/>
    <col min="6659" max="6659" width="16.28515625" style="291" bestFit="1" customWidth="1"/>
    <col min="6660" max="6914" width="11.42578125" style="291"/>
    <col min="6915" max="6915" width="16.28515625" style="291" bestFit="1" customWidth="1"/>
    <col min="6916" max="7170" width="11.42578125" style="291"/>
    <col min="7171" max="7171" width="16.28515625" style="291" bestFit="1" customWidth="1"/>
    <col min="7172" max="7426" width="11.42578125" style="291"/>
    <col min="7427" max="7427" width="16.28515625" style="291" bestFit="1" customWidth="1"/>
    <col min="7428" max="7682" width="11.42578125" style="291"/>
    <col min="7683" max="7683" width="16.28515625" style="291" bestFit="1" customWidth="1"/>
    <col min="7684" max="7938" width="11.42578125" style="291"/>
    <col min="7939" max="7939" width="16.28515625" style="291" bestFit="1" customWidth="1"/>
    <col min="7940" max="8194" width="11.42578125" style="291"/>
    <col min="8195" max="8195" width="16.28515625" style="291" bestFit="1" customWidth="1"/>
    <col min="8196" max="8450" width="11.42578125" style="291"/>
    <col min="8451" max="8451" width="16.28515625" style="291" bestFit="1" customWidth="1"/>
    <col min="8452" max="8706" width="11.42578125" style="291"/>
    <col min="8707" max="8707" width="16.28515625" style="291" bestFit="1" customWidth="1"/>
    <col min="8708" max="8962" width="11.42578125" style="291"/>
    <col min="8963" max="8963" width="16.28515625" style="291" bestFit="1" customWidth="1"/>
    <col min="8964" max="9218" width="11.42578125" style="291"/>
    <col min="9219" max="9219" width="16.28515625" style="291" bestFit="1" customWidth="1"/>
    <col min="9220" max="9474" width="11.42578125" style="291"/>
    <col min="9475" max="9475" width="16.28515625" style="291" bestFit="1" customWidth="1"/>
    <col min="9476" max="9730" width="11.42578125" style="291"/>
    <col min="9731" max="9731" width="16.28515625" style="291" bestFit="1" customWidth="1"/>
    <col min="9732" max="9986" width="11.42578125" style="291"/>
    <col min="9987" max="9987" width="16.28515625" style="291" bestFit="1" customWidth="1"/>
    <col min="9988" max="10242" width="11.42578125" style="291"/>
    <col min="10243" max="10243" width="16.28515625" style="291" bestFit="1" customWidth="1"/>
    <col min="10244" max="10498" width="11.42578125" style="291"/>
    <col min="10499" max="10499" width="16.28515625" style="291" bestFit="1" customWidth="1"/>
    <col min="10500" max="10754" width="11.42578125" style="291"/>
    <col min="10755" max="10755" width="16.28515625" style="291" bestFit="1" customWidth="1"/>
    <col min="10756" max="11010" width="11.42578125" style="291"/>
    <col min="11011" max="11011" width="16.28515625" style="291" bestFit="1" customWidth="1"/>
    <col min="11012" max="11266" width="11.42578125" style="291"/>
    <col min="11267" max="11267" width="16.28515625" style="291" bestFit="1" customWidth="1"/>
    <col min="11268" max="11522" width="11.42578125" style="291"/>
    <col min="11523" max="11523" width="16.28515625" style="291" bestFit="1" customWidth="1"/>
    <col min="11524" max="11778" width="11.42578125" style="291"/>
    <col min="11779" max="11779" width="16.28515625" style="291" bestFit="1" customWidth="1"/>
    <col min="11780" max="12034" width="11.42578125" style="291"/>
    <col min="12035" max="12035" width="16.28515625" style="291" bestFit="1" customWidth="1"/>
    <col min="12036" max="12290" width="11.42578125" style="291"/>
    <col min="12291" max="12291" width="16.28515625" style="291" bestFit="1" customWidth="1"/>
    <col min="12292" max="12546" width="11.42578125" style="291"/>
    <col min="12547" max="12547" width="16.28515625" style="291" bestFit="1" customWidth="1"/>
    <col min="12548" max="12802" width="11.42578125" style="291"/>
    <col min="12803" max="12803" width="16.28515625" style="291" bestFit="1" customWidth="1"/>
    <col min="12804" max="13058" width="11.42578125" style="291"/>
    <col min="13059" max="13059" width="16.28515625" style="291" bestFit="1" customWidth="1"/>
    <col min="13060" max="13314" width="11.42578125" style="291"/>
    <col min="13315" max="13315" width="16.28515625" style="291" bestFit="1" customWidth="1"/>
    <col min="13316" max="13570" width="11.42578125" style="291"/>
    <col min="13571" max="13571" width="16.28515625" style="291" bestFit="1" customWidth="1"/>
    <col min="13572" max="13826" width="11.42578125" style="291"/>
    <col min="13827" max="13827" width="16.28515625" style="291" bestFit="1" customWidth="1"/>
    <col min="13828" max="14082" width="11.42578125" style="291"/>
    <col min="14083" max="14083" width="16.28515625" style="291" bestFit="1" customWidth="1"/>
    <col min="14084" max="14338" width="11.42578125" style="291"/>
    <col min="14339" max="14339" width="16.28515625" style="291" bestFit="1" customWidth="1"/>
    <col min="14340" max="14594" width="11.42578125" style="291"/>
    <col min="14595" max="14595" width="16.28515625" style="291" bestFit="1" customWidth="1"/>
    <col min="14596" max="14850" width="11.42578125" style="291"/>
    <col min="14851" max="14851" width="16.28515625" style="291" bestFit="1" customWidth="1"/>
    <col min="14852" max="15106" width="11.42578125" style="291"/>
    <col min="15107" max="15107" width="16.28515625" style="291" bestFit="1" customWidth="1"/>
    <col min="15108" max="15362" width="11.42578125" style="291"/>
    <col min="15363" max="15363" width="16.28515625" style="291" bestFit="1" customWidth="1"/>
    <col min="15364" max="15618" width="11.42578125" style="291"/>
    <col min="15619" max="15619" width="16.28515625" style="291" bestFit="1" customWidth="1"/>
    <col min="15620" max="15874" width="11.42578125" style="291"/>
    <col min="15875" max="15875" width="16.28515625" style="291" bestFit="1" customWidth="1"/>
    <col min="15876" max="16130" width="11.42578125" style="291"/>
    <col min="16131" max="16131" width="16.28515625" style="291" bestFit="1" customWidth="1"/>
    <col min="16132" max="16384" width="11.42578125" style="291"/>
  </cols>
  <sheetData>
    <row r="4" spans="3:16">
      <c r="E4" s="562" t="s">
        <v>601</v>
      </c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</row>
    <row r="5" spans="3:16"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</row>
    <row r="8" spans="3:16" ht="15.75" thickBot="1">
      <c r="F8" s="474"/>
      <c r="G8" s="474"/>
      <c r="H8" s="474"/>
      <c r="I8" s="474"/>
      <c r="J8" s="474"/>
      <c r="K8" s="474"/>
      <c r="L8" s="474"/>
      <c r="M8" s="474"/>
    </row>
    <row r="9" spans="3:16" ht="16.5" thickTop="1" thickBot="1">
      <c r="C9" s="475" t="s">
        <v>306</v>
      </c>
      <c r="D9" s="476">
        <v>2005</v>
      </c>
      <c r="E9" s="476" t="s">
        <v>602</v>
      </c>
      <c r="F9" s="476" t="s">
        <v>603</v>
      </c>
      <c r="G9" s="476" t="s">
        <v>416</v>
      </c>
      <c r="H9" s="476" t="s">
        <v>417</v>
      </c>
      <c r="I9" s="476">
        <v>2010</v>
      </c>
      <c r="J9" s="476">
        <v>2011</v>
      </c>
      <c r="K9" s="476">
        <v>2012</v>
      </c>
      <c r="L9" s="476">
        <v>2013</v>
      </c>
      <c r="M9" s="476">
        <v>2014</v>
      </c>
      <c r="N9" s="476" t="s">
        <v>426</v>
      </c>
      <c r="O9" s="476" t="s">
        <v>427</v>
      </c>
      <c r="P9" s="476" t="s">
        <v>428</v>
      </c>
    </row>
    <row r="10" spans="3:16" ht="16.5" thickTop="1" thickBot="1">
      <c r="C10" s="477" t="s">
        <v>591</v>
      </c>
      <c r="D10" s="478">
        <v>1085.7331581600004</v>
      </c>
      <c r="E10" s="478">
        <v>1609.9147206899995</v>
      </c>
      <c r="F10" s="478">
        <v>1248.8157222100001</v>
      </c>
      <c r="G10" s="478">
        <v>1708.05930629</v>
      </c>
      <c r="H10" s="478">
        <v>2821.66178881</v>
      </c>
      <c r="I10" s="478">
        <v>4069.4446639899998</v>
      </c>
      <c r="J10" s="478">
        <v>7247.1225798100013</v>
      </c>
      <c r="K10" s="478">
        <v>8503.5799538300016</v>
      </c>
      <c r="L10" s="478">
        <v>9940.4216068900005</v>
      </c>
      <c r="M10" s="478">
        <v>8867.2108695199986</v>
      </c>
      <c r="N10" s="478">
        <v>7616.8134082500001</v>
      </c>
      <c r="O10" s="478">
        <v>4251.3892154399991</v>
      </c>
      <c r="P10" s="479">
        <f>'[3]INVERSIONES 4'!M44</f>
        <v>1179.8230000000001</v>
      </c>
    </row>
    <row r="11" spans="3:16" ht="15.75" thickTop="1"/>
    <row r="34" spans="3:5">
      <c r="E34" s="345"/>
    </row>
    <row r="35" spans="3:5">
      <c r="C35" s="369" t="s">
        <v>436</v>
      </c>
    </row>
    <row r="36" spans="3:5">
      <c r="C36" s="374" t="s">
        <v>437</v>
      </c>
    </row>
    <row r="37" spans="3:5">
      <c r="C37" s="374" t="s">
        <v>438</v>
      </c>
    </row>
    <row r="38" spans="3:5">
      <c r="C38" s="374"/>
    </row>
    <row r="39" spans="3:5">
      <c r="C39" s="378" t="s">
        <v>439</v>
      </c>
    </row>
    <row r="40" spans="3:5">
      <c r="C40" s="381"/>
    </row>
    <row r="41" spans="3:5">
      <c r="C41" s="381" t="s">
        <v>440</v>
      </c>
    </row>
    <row r="43" spans="3:5">
      <c r="C43" s="381" t="s">
        <v>441</v>
      </c>
    </row>
    <row r="44" spans="3:5">
      <c r="C44" s="383" t="s">
        <v>442</v>
      </c>
    </row>
    <row r="45" spans="3:5">
      <c r="C45" s="383"/>
      <c r="D45" s="384"/>
      <c r="E45" s="384"/>
    </row>
    <row r="46" spans="3:5">
      <c r="D46" s="460"/>
      <c r="E46" s="460"/>
    </row>
  </sheetData>
  <mergeCells count="1">
    <mergeCell ref="E4:P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>
      <selection activeCell="B29" sqref="B29"/>
    </sheetView>
  </sheetViews>
  <sheetFormatPr baseColWidth="10" defaultRowHeight="15"/>
  <cols>
    <col min="2" max="2" width="44.7109375" customWidth="1"/>
    <col min="3" max="3" width="34.42578125" style="204" customWidth="1"/>
    <col min="4" max="4" width="21.7109375" customWidth="1"/>
    <col min="5" max="5" width="15.42578125" customWidth="1"/>
    <col min="6" max="6" width="16" customWidth="1"/>
  </cols>
  <sheetData>
    <row r="1" spans="2:6">
      <c r="B1" s="188" t="s">
        <v>710</v>
      </c>
      <c r="C1" s="188" t="s">
        <v>711</v>
      </c>
      <c r="D1" s="188" t="s">
        <v>712</v>
      </c>
      <c r="E1" s="188" t="s">
        <v>713</v>
      </c>
      <c r="F1" s="188" t="s">
        <v>714</v>
      </c>
    </row>
    <row r="3" spans="2:6">
      <c r="B3" s="480" t="s">
        <v>604</v>
      </c>
      <c r="C3" s="480"/>
      <c r="D3" s="480"/>
      <c r="E3" s="480"/>
      <c r="F3" s="480"/>
    </row>
    <row r="4" spans="2:6">
      <c r="B4" t="s">
        <v>605</v>
      </c>
      <c r="C4" s="204" t="s">
        <v>606</v>
      </c>
      <c r="D4" t="s">
        <v>61</v>
      </c>
      <c r="E4" t="s">
        <v>607</v>
      </c>
      <c r="F4" s="368">
        <v>1200</v>
      </c>
    </row>
    <row r="5" spans="2:6">
      <c r="B5" t="s">
        <v>608</v>
      </c>
      <c r="C5" s="204" t="s">
        <v>609</v>
      </c>
      <c r="D5" t="s">
        <v>357</v>
      </c>
      <c r="E5" t="s">
        <v>610</v>
      </c>
      <c r="F5">
        <v>520</v>
      </c>
    </row>
    <row r="6" spans="2:6">
      <c r="B6" t="s">
        <v>354</v>
      </c>
      <c r="C6" s="204" t="s">
        <v>611</v>
      </c>
      <c r="D6" t="s">
        <v>63</v>
      </c>
      <c r="E6" t="s">
        <v>612</v>
      </c>
      <c r="F6" s="368">
        <v>1500</v>
      </c>
    </row>
    <row r="7" spans="2:6">
      <c r="B7" t="s">
        <v>35</v>
      </c>
      <c r="C7" s="204" t="s">
        <v>613</v>
      </c>
      <c r="D7" t="s">
        <v>66</v>
      </c>
      <c r="E7" t="s">
        <v>607</v>
      </c>
      <c r="F7" s="368">
        <v>1300</v>
      </c>
    </row>
    <row r="8" spans="2:6">
      <c r="B8" t="s">
        <v>45</v>
      </c>
      <c r="C8" s="204" t="s">
        <v>614</v>
      </c>
      <c r="D8" t="s">
        <v>70</v>
      </c>
      <c r="E8" t="s">
        <v>615</v>
      </c>
      <c r="F8">
        <v>640</v>
      </c>
    </row>
    <row r="11" spans="2:6">
      <c r="B11" s="480" t="s">
        <v>616</v>
      </c>
      <c r="C11" s="480"/>
      <c r="D11" s="480"/>
      <c r="E11" s="480"/>
      <c r="F11" s="480"/>
    </row>
    <row r="12" spans="2:6">
      <c r="B12" t="s">
        <v>480</v>
      </c>
      <c r="C12" s="204" t="s">
        <v>617</v>
      </c>
      <c r="D12" t="s">
        <v>59</v>
      </c>
      <c r="E12" t="s">
        <v>607</v>
      </c>
      <c r="F12" s="368">
        <v>5000</v>
      </c>
    </row>
    <row r="13" spans="2:6">
      <c r="B13" t="s">
        <v>37</v>
      </c>
      <c r="C13" s="204" t="s">
        <v>618</v>
      </c>
      <c r="D13" t="s">
        <v>64</v>
      </c>
      <c r="E13" t="s">
        <v>619</v>
      </c>
      <c r="F13" s="368">
        <v>4800</v>
      </c>
    </row>
    <row r="14" spans="2:6">
      <c r="B14" t="s">
        <v>620</v>
      </c>
      <c r="C14" s="204" t="s">
        <v>621</v>
      </c>
      <c r="D14" t="s">
        <v>622</v>
      </c>
      <c r="E14" t="s">
        <v>623</v>
      </c>
      <c r="F14">
        <v>120</v>
      </c>
    </row>
    <row r="15" spans="2:6">
      <c r="B15" t="s">
        <v>624</v>
      </c>
      <c r="C15" s="204" t="s">
        <v>625</v>
      </c>
      <c r="D15" t="s">
        <v>626</v>
      </c>
      <c r="E15" t="s">
        <v>627</v>
      </c>
      <c r="F15">
        <v>240</v>
      </c>
    </row>
    <row r="16" spans="2:6">
      <c r="B16" t="s">
        <v>478</v>
      </c>
      <c r="C16" s="204" t="s">
        <v>628</v>
      </c>
      <c r="D16" t="s">
        <v>64</v>
      </c>
      <c r="E16" t="s">
        <v>615</v>
      </c>
      <c r="F16">
        <v>132</v>
      </c>
    </row>
    <row r="17" spans="2:6">
      <c r="B17" t="s">
        <v>629</v>
      </c>
      <c r="C17" s="204" t="s">
        <v>630</v>
      </c>
      <c r="D17" t="s">
        <v>68</v>
      </c>
      <c r="E17" t="s">
        <v>631</v>
      </c>
      <c r="F17">
        <v>670</v>
      </c>
    </row>
    <row r="18" spans="2:6">
      <c r="B18" t="s">
        <v>632</v>
      </c>
      <c r="C18" s="204" t="s">
        <v>633</v>
      </c>
      <c r="D18" t="s">
        <v>68</v>
      </c>
      <c r="E18" t="s">
        <v>615</v>
      </c>
      <c r="F18">
        <v>30</v>
      </c>
    </row>
    <row r="19" spans="2:6">
      <c r="B19" t="s">
        <v>634</v>
      </c>
      <c r="C19" s="204" t="s">
        <v>635</v>
      </c>
      <c r="D19" t="s">
        <v>357</v>
      </c>
      <c r="E19" t="s">
        <v>610</v>
      </c>
      <c r="F19">
        <v>500</v>
      </c>
    </row>
    <row r="20" spans="2:6">
      <c r="B20" t="s">
        <v>636</v>
      </c>
      <c r="C20" s="204" t="s">
        <v>637</v>
      </c>
      <c r="D20" t="s">
        <v>58</v>
      </c>
      <c r="E20" t="s">
        <v>607</v>
      </c>
      <c r="F20" s="368">
        <v>1400</v>
      </c>
    </row>
    <row r="21" spans="2:6">
      <c r="B21" t="s">
        <v>250</v>
      </c>
      <c r="C21" s="204" t="s">
        <v>638</v>
      </c>
      <c r="D21" t="s">
        <v>58</v>
      </c>
      <c r="E21" t="s">
        <v>639</v>
      </c>
      <c r="F21">
        <v>362</v>
      </c>
    </row>
    <row r="22" spans="2:6">
      <c r="B22" t="s">
        <v>640</v>
      </c>
      <c r="C22" s="204" t="s">
        <v>641</v>
      </c>
      <c r="D22" t="s">
        <v>58</v>
      </c>
      <c r="E22" t="s">
        <v>612</v>
      </c>
      <c r="F22" s="368">
        <v>1500</v>
      </c>
    </row>
    <row r="23" spans="2:6">
      <c r="B23" t="s">
        <v>642</v>
      </c>
      <c r="C23" s="204" t="s">
        <v>643</v>
      </c>
      <c r="D23" t="s">
        <v>67</v>
      </c>
      <c r="E23" t="s">
        <v>644</v>
      </c>
      <c r="F23">
        <v>706</v>
      </c>
    </row>
    <row r="24" spans="2:6">
      <c r="B24" t="s">
        <v>645</v>
      </c>
      <c r="C24" s="204" t="s">
        <v>646</v>
      </c>
      <c r="D24" t="s">
        <v>57</v>
      </c>
      <c r="E24" t="s">
        <v>607</v>
      </c>
      <c r="F24">
        <v>300</v>
      </c>
    </row>
    <row r="25" spans="2:6">
      <c r="B25" t="s">
        <v>647</v>
      </c>
      <c r="C25" s="204" t="s">
        <v>648</v>
      </c>
      <c r="D25" t="s">
        <v>66</v>
      </c>
      <c r="E25" t="s">
        <v>649</v>
      </c>
      <c r="F25" t="s">
        <v>650</v>
      </c>
    </row>
    <row r="29" spans="2:6">
      <c r="B29" s="481" t="s">
        <v>651</v>
      </c>
      <c r="C29" s="481"/>
      <c r="D29" s="481"/>
      <c r="E29" s="481"/>
      <c r="F29" s="481"/>
    </row>
    <row r="30" spans="2:6">
      <c r="B30" t="s">
        <v>652</v>
      </c>
      <c r="C30" s="204" t="s">
        <v>653</v>
      </c>
      <c r="D30" t="s">
        <v>68</v>
      </c>
      <c r="E30" t="s">
        <v>631</v>
      </c>
      <c r="F30">
        <v>71</v>
      </c>
    </row>
    <row r="31" spans="2:6">
      <c r="B31" t="s">
        <v>250</v>
      </c>
      <c r="C31" s="204" t="s">
        <v>654</v>
      </c>
      <c r="D31" t="s">
        <v>59</v>
      </c>
      <c r="E31" t="s">
        <v>615</v>
      </c>
      <c r="F31">
        <v>520</v>
      </c>
    </row>
    <row r="32" spans="2:6">
      <c r="B32" t="s">
        <v>491</v>
      </c>
      <c r="C32" s="204" t="s">
        <v>655</v>
      </c>
      <c r="D32" t="s">
        <v>63</v>
      </c>
      <c r="E32" t="s">
        <v>607</v>
      </c>
      <c r="F32" s="368">
        <v>1348</v>
      </c>
    </row>
    <row r="36" spans="2:6">
      <c r="B36" s="480" t="s">
        <v>656</v>
      </c>
      <c r="C36" s="480"/>
      <c r="D36" s="480"/>
      <c r="E36" s="480"/>
      <c r="F36" s="480"/>
    </row>
    <row r="37" spans="2:6">
      <c r="B37" t="s">
        <v>657</v>
      </c>
      <c r="C37" s="204" t="s">
        <v>658</v>
      </c>
      <c r="D37" t="s">
        <v>64</v>
      </c>
      <c r="E37" t="s">
        <v>607</v>
      </c>
      <c r="F37" s="368">
        <v>1950</v>
      </c>
    </row>
    <row r="38" spans="2:6">
      <c r="B38" t="s">
        <v>659</v>
      </c>
      <c r="C38" s="204" t="s">
        <v>660</v>
      </c>
      <c r="D38" t="s">
        <v>218</v>
      </c>
      <c r="E38" t="s">
        <v>612</v>
      </c>
      <c r="F38" s="368">
        <v>2300</v>
      </c>
    </row>
    <row r="39" spans="2:6">
      <c r="B39" t="s">
        <v>661</v>
      </c>
      <c r="C39" s="204" t="s">
        <v>662</v>
      </c>
      <c r="D39" t="s">
        <v>571</v>
      </c>
      <c r="E39" t="s">
        <v>607</v>
      </c>
      <c r="F39" s="368">
        <v>1600</v>
      </c>
    </row>
    <row r="40" spans="2:6">
      <c r="B40" t="s">
        <v>642</v>
      </c>
      <c r="C40" s="204" t="s">
        <v>663</v>
      </c>
      <c r="D40" t="s">
        <v>57</v>
      </c>
      <c r="E40" t="s">
        <v>664</v>
      </c>
      <c r="F40">
        <v>470</v>
      </c>
    </row>
    <row r="41" spans="2:6">
      <c r="B41" t="s">
        <v>665</v>
      </c>
      <c r="C41" s="204" t="s">
        <v>666</v>
      </c>
      <c r="D41" t="s">
        <v>60</v>
      </c>
      <c r="E41" t="s">
        <v>607</v>
      </c>
      <c r="F41">
        <v>490</v>
      </c>
    </row>
    <row r="42" spans="2:6">
      <c r="B42" t="s">
        <v>667</v>
      </c>
      <c r="C42" s="204" t="s">
        <v>668</v>
      </c>
      <c r="D42" t="s">
        <v>58</v>
      </c>
      <c r="E42" t="s">
        <v>607</v>
      </c>
      <c r="F42">
        <v>600</v>
      </c>
    </row>
    <row r="43" spans="2:6">
      <c r="B43" t="s">
        <v>669</v>
      </c>
      <c r="C43" s="204" t="s">
        <v>670</v>
      </c>
      <c r="D43" t="s">
        <v>64</v>
      </c>
      <c r="E43" t="s">
        <v>671</v>
      </c>
      <c r="F43" s="368">
        <v>3500</v>
      </c>
    </row>
    <row r="44" spans="2:6">
      <c r="B44" t="s">
        <v>672</v>
      </c>
      <c r="C44" s="204" t="s">
        <v>673</v>
      </c>
      <c r="D44" t="s">
        <v>218</v>
      </c>
      <c r="E44" t="s">
        <v>607</v>
      </c>
      <c r="F44" s="368">
        <v>2800</v>
      </c>
    </row>
    <row r="45" spans="2:6">
      <c r="B45" t="s">
        <v>674</v>
      </c>
      <c r="C45" s="204" t="s">
        <v>675</v>
      </c>
      <c r="D45" t="s">
        <v>59</v>
      </c>
      <c r="E45" t="s">
        <v>644</v>
      </c>
      <c r="F45">
        <v>655</v>
      </c>
    </row>
    <row r="46" spans="2:6">
      <c r="B46" t="s">
        <v>676</v>
      </c>
      <c r="C46" s="204" t="s">
        <v>677</v>
      </c>
      <c r="D46" t="s">
        <v>60</v>
      </c>
      <c r="E46" t="s">
        <v>612</v>
      </c>
      <c r="F46" t="s">
        <v>678</v>
      </c>
    </row>
    <row r="47" spans="2:6">
      <c r="B47" t="s">
        <v>679</v>
      </c>
      <c r="C47" s="204" t="s">
        <v>680</v>
      </c>
      <c r="D47" t="s">
        <v>357</v>
      </c>
      <c r="E47" t="s">
        <v>607</v>
      </c>
      <c r="F47" s="368">
        <v>2500</v>
      </c>
    </row>
    <row r="48" spans="2:6">
      <c r="B48" t="s">
        <v>681</v>
      </c>
      <c r="C48" s="204" t="s">
        <v>682</v>
      </c>
      <c r="D48" t="s">
        <v>64</v>
      </c>
      <c r="E48" t="s">
        <v>607</v>
      </c>
      <c r="F48" s="368">
        <v>1000</v>
      </c>
    </row>
    <row r="49" spans="2:6">
      <c r="B49" t="s">
        <v>636</v>
      </c>
      <c r="C49" s="204" t="s">
        <v>683</v>
      </c>
      <c r="D49" t="s">
        <v>218</v>
      </c>
      <c r="E49" t="s">
        <v>607</v>
      </c>
      <c r="F49" s="368">
        <v>2800</v>
      </c>
    </row>
    <row r="50" spans="2:6">
      <c r="B50" t="s">
        <v>684</v>
      </c>
      <c r="C50" s="204" t="s">
        <v>685</v>
      </c>
      <c r="D50" t="s">
        <v>357</v>
      </c>
      <c r="E50" t="s">
        <v>686</v>
      </c>
      <c r="F50">
        <v>125</v>
      </c>
    </row>
    <row r="51" spans="2:6">
      <c r="B51" t="s">
        <v>687</v>
      </c>
      <c r="C51" s="204" t="s">
        <v>688</v>
      </c>
      <c r="D51" t="s">
        <v>69</v>
      </c>
      <c r="E51" t="s">
        <v>607</v>
      </c>
      <c r="F51">
        <v>350</v>
      </c>
    </row>
    <row r="52" spans="2:6">
      <c r="B52" t="s">
        <v>689</v>
      </c>
      <c r="C52" s="204" t="s">
        <v>690</v>
      </c>
      <c r="D52" t="s">
        <v>58</v>
      </c>
      <c r="E52" t="s">
        <v>619</v>
      </c>
      <c r="F52" s="368">
        <v>1157</v>
      </c>
    </row>
    <row r="53" spans="2:6">
      <c r="B53" t="s">
        <v>691</v>
      </c>
      <c r="C53" s="204" t="s">
        <v>692</v>
      </c>
      <c r="D53" t="s">
        <v>622</v>
      </c>
      <c r="E53" t="s">
        <v>693</v>
      </c>
      <c r="F53">
        <v>346</v>
      </c>
    </row>
    <row r="54" spans="2:6">
      <c r="B54" t="s">
        <v>694</v>
      </c>
      <c r="C54" s="204" t="s">
        <v>695</v>
      </c>
      <c r="D54" t="s">
        <v>66</v>
      </c>
      <c r="E54" t="s">
        <v>610</v>
      </c>
      <c r="F54">
        <v>850</v>
      </c>
    </row>
    <row r="55" spans="2:6">
      <c r="B55" t="s">
        <v>533</v>
      </c>
      <c r="C55" s="204" t="s">
        <v>696</v>
      </c>
      <c r="D55" t="s">
        <v>62</v>
      </c>
      <c r="E55" t="s">
        <v>697</v>
      </c>
      <c r="F55" t="s">
        <v>650</v>
      </c>
    </row>
    <row r="56" spans="2:6">
      <c r="B56" t="s">
        <v>698</v>
      </c>
      <c r="C56" s="204" t="s">
        <v>699</v>
      </c>
      <c r="D56" t="s">
        <v>218</v>
      </c>
      <c r="E56" t="s">
        <v>607</v>
      </c>
      <c r="F56">
        <v>90</v>
      </c>
    </row>
    <row r="57" spans="2:6">
      <c r="B57" t="s">
        <v>355</v>
      </c>
      <c r="C57" s="204" t="s">
        <v>700</v>
      </c>
      <c r="D57" t="s">
        <v>68</v>
      </c>
      <c r="E57" t="s">
        <v>701</v>
      </c>
      <c r="F57">
        <v>165</v>
      </c>
    </row>
    <row r="58" spans="2:6">
      <c r="B58" t="s">
        <v>589</v>
      </c>
      <c r="C58" s="204" t="s">
        <v>702</v>
      </c>
      <c r="D58" t="s">
        <v>218</v>
      </c>
      <c r="E58" t="s">
        <v>703</v>
      </c>
      <c r="F58" s="368">
        <v>1963</v>
      </c>
    </row>
    <row r="59" spans="2:6">
      <c r="B59" t="s">
        <v>704</v>
      </c>
      <c r="C59" s="204" t="s">
        <v>705</v>
      </c>
      <c r="D59" t="s">
        <v>218</v>
      </c>
      <c r="E59" t="s">
        <v>706</v>
      </c>
      <c r="F59" s="368">
        <v>1000</v>
      </c>
    </row>
    <row r="60" spans="2:6">
      <c r="B60" t="s">
        <v>707</v>
      </c>
      <c r="C60" s="204" t="s">
        <v>708</v>
      </c>
      <c r="D60" t="s">
        <v>68</v>
      </c>
      <c r="E60" t="s">
        <v>709</v>
      </c>
      <c r="F60">
        <v>300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58"/>
  <sheetViews>
    <sheetView topLeftCell="A4" workbookViewId="0">
      <selection activeCell="H13" sqref="H13:J36"/>
    </sheetView>
  </sheetViews>
  <sheetFormatPr baseColWidth="10" defaultRowHeight="15"/>
  <cols>
    <col min="1" max="7" width="11.42578125" style="291"/>
    <col min="8" max="8" width="15.140625" style="291" customWidth="1"/>
    <col min="9" max="263" width="11.42578125" style="291"/>
    <col min="264" max="264" width="15.140625" style="291" customWidth="1"/>
    <col min="265" max="519" width="11.42578125" style="291"/>
    <col min="520" max="520" width="15.140625" style="291" customWidth="1"/>
    <col min="521" max="775" width="11.42578125" style="291"/>
    <col min="776" max="776" width="15.140625" style="291" customWidth="1"/>
    <col min="777" max="1031" width="11.42578125" style="291"/>
    <col min="1032" max="1032" width="15.140625" style="291" customWidth="1"/>
    <col min="1033" max="1287" width="11.42578125" style="291"/>
    <col min="1288" max="1288" width="15.140625" style="291" customWidth="1"/>
    <col min="1289" max="1543" width="11.42578125" style="291"/>
    <col min="1544" max="1544" width="15.140625" style="291" customWidth="1"/>
    <col min="1545" max="1799" width="11.42578125" style="291"/>
    <col min="1800" max="1800" width="15.140625" style="291" customWidth="1"/>
    <col min="1801" max="2055" width="11.42578125" style="291"/>
    <col min="2056" max="2056" width="15.140625" style="291" customWidth="1"/>
    <col min="2057" max="2311" width="11.42578125" style="291"/>
    <col min="2312" max="2312" width="15.140625" style="291" customWidth="1"/>
    <col min="2313" max="2567" width="11.42578125" style="291"/>
    <col min="2568" max="2568" width="15.140625" style="291" customWidth="1"/>
    <col min="2569" max="2823" width="11.42578125" style="291"/>
    <col min="2824" max="2824" width="15.140625" style="291" customWidth="1"/>
    <col min="2825" max="3079" width="11.42578125" style="291"/>
    <col min="3080" max="3080" width="15.140625" style="291" customWidth="1"/>
    <col min="3081" max="3335" width="11.42578125" style="291"/>
    <col min="3336" max="3336" width="15.140625" style="291" customWidth="1"/>
    <col min="3337" max="3591" width="11.42578125" style="291"/>
    <col min="3592" max="3592" width="15.140625" style="291" customWidth="1"/>
    <col min="3593" max="3847" width="11.42578125" style="291"/>
    <col min="3848" max="3848" width="15.140625" style="291" customWidth="1"/>
    <col min="3849" max="4103" width="11.42578125" style="291"/>
    <col min="4104" max="4104" width="15.140625" style="291" customWidth="1"/>
    <col min="4105" max="4359" width="11.42578125" style="291"/>
    <col min="4360" max="4360" width="15.140625" style="291" customWidth="1"/>
    <col min="4361" max="4615" width="11.42578125" style="291"/>
    <col min="4616" max="4616" width="15.140625" style="291" customWidth="1"/>
    <col min="4617" max="4871" width="11.42578125" style="291"/>
    <col min="4872" max="4872" width="15.140625" style="291" customWidth="1"/>
    <col min="4873" max="5127" width="11.42578125" style="291"/>
    <col min="5128" max="5128" width="15.140625" style="291" customWidth="1"/>
    <col min="5129" max="5383" width="11.42578125" style="291"/>
    <col min="5384" max="5384" width="15.140625" style="291" customWidth="1"/>
    <col min="5385" max="5639" width="11.42578125" style="291"/>
    <col min="5640" max="5640" width="15.140625" style="291" customWidth="1"/>
    <col min="5641" max="5895" width="11.42578125" style="291"/>
    <col min="5896" max="5896" width="15.140625" style="291" customWidth="1"/>
    <col min="5897" max="6151" width="11.42578125" style="291"/>
    <col min="6152" max="6152" width="15.140625" style="291" customWidth="1"/>
    <col min="6153" max="6407" width="11.42578125" style="291"/>
    <col min="6408" max="6408" width="15.140625" style="291" customWidth="1"/>
    <col min="6409" max="6663" width="11.42578125" style="291"/>
    <col min="6664" max="6664" width="15.140625" style="291" customWidth="1"/>
    <col min="6665" max="6919" width="11.42578125" style="291"/>
    <col min="6920" max="6920" width="15.140625" style="291" customWidth="1"/>
    <col min="6921" max="7175" width="11.42578125" style="291"/>
    <col min="7176" max="7176" width="15.140625" style="291" customWidth="1"/>
    <col min="7177" max="7431" width="11.42578125" style="291"/>
    <col min="7432" max="7432" width="15.140625" style="291" customWidth="1"/>
    <col min="7433" max="7687" width="11.42578125" style="291"/>
    <col min="7688" max="7688" width="15.140625" style="291" customWidth="1"/>
    <col min="7689" max="7943" width="11.42578125" style="291"/>
    <col min="7944" max="7944" width="15.140625" style="291" customWidth="1"/>
    <col min="7945" max="8199" width="11.42578125" style="291"/>
    <col min="8200" max="8200" width="15.140625" style="291" customWidth="1"/>
    <col min="8201" max="8455" width="11.42578125" style="291"/>
    <col min="8456" max="8456" width="15.140625" style="291" customWidth="1"/>
    <col min="8457" max="8711" width="11.42578125" style="291"/>
    <col min="8712" max="8712" width="15.140625" style="291" customWidth="1"/>
    <col min="8713" max="8967" width="11.42578125" style="291"/>
    <col min="8968" max="8968" width="15.140625" style="291" customWidth="1"/>
    <col min="8969" max="9223" width="11.42578125" style="291"/>
    <col min="9224" max="9224" width="15.140625" style="291" customWidth="1"/>
    <col min="9225" max="9479" width="11.42578125" style="291"/>
    <col min="9480" max="9480" width="15.140625" style="291" customWidth="1"/>
    <col min="9481" max="9735" width="11.42578125" style="291"/>
    <col min="9736" max="9736" width="15.140625" style="291" customWidth="1"/>
    <col min="9737" max="9991" width="11.42578125" style="291"/>
    <col min="9992" max="9992" width="15.140625" style="291" customWidth="1"/>
    <col min="9993" max="10247" width="11.42578125" style="291"/>
    <col min="10248" max="10248" width="15.140625" style="291" customWidth="1"/>
    <col min="10249" max="10503" width="11.42578125" style="291"/>
    <col min="10504" max="10504" width="15.140625" style="291" customWidth="1"/>
    <col min="10505" max="10759" width="11.42578125" style="291"/>
    <col min="10760" max="10760" width="15.140625" style="291" customWidth="1"/>
    <col min="10761" max="11015" width="11.42578125" style="291"/>
    <col min="11016" max="11016" width="15.140625" style="291" customWidth="1"/>
    <col min="11017" max="11271" width="11.42578125" style="291"/>
    <col min="11272" max="11272" width="15.140625" style="291" customWidth="1"/>
    <col min="11273" max="11527" width="11.42578125" style="291"/>
    <col min="11528" max="11528" width="15.140625" style="291" customWidth="1"/>
    <col min="11529" max="11783" width="11.42578125" style="291"/>
    <col min="11784" max="11784" width="15.140625" style="291" customWidth="1"/>
    <col min="11785" max="12039" width="11.42578125" style="291"/>
    <col min="12040" max="12040" width="15.140625" style="291" customWidth="1"/>
    <col min="12041" max="12295" width="11.42578125" style="291"/>
    <col min="12296" max="12296" width="15.140625" style="291" customWidth="1"/>
    <col min="12297" max="12551" width="11.42578125" style="291"/>
    <col min="12552" max="12552" width="15.140625" style="291" customWidth="1"/>
    <col min="12553" max="12807" width="11.42578125" style="291"/>
    <col min="12808" max="12808" width="15.140625" style="291" customWidth="1"/>
    <col min="12809" max="13063" width="11.42578125" style="291"/>
    <col min="13064" max="13064" width="15.140625" style="291" customWidth="1"/>
    <col min="13065" max="13319" width="11.42578125" style="291"/>
    <col min="13320" max="13320" width="15.140625" style="291" customWidth="1"/>
    <col min="13321" max="13575" width="11.42578125" style="291"/>
    <col min="13576" max="13576" width="15.140625" style="291" customWidth="1"/>
    <col min="13577" max="13831" width="11.42578125" style="291"/>
    <col min="13832" max="13832" width="15.140625" style="291" customWidth="1"/>
    <col min="13833" max="14087" width="11.42578125" style="291"/>
    <col min="14088" max="14088" width="15.140625" style="291" customWidth="1"/>
    <col min="14089" max="14343" width="11.42578125" style="291"/>
    <col min="14344" max="14344" width="15.140625" style="291" customWidth="1"/>
    <col min="14345" max="14599" width="11.42578125" style="291"/>
    <col min="14600" max="14600" width="15.140625" style="291" customWidth="1"/>
    <col min="14601" max="14855" width="11.42578125" style="291"/>
    <col min="14856" max="14856" width="15.140625" style="291" customWidth="1"/>
    <col min="14857" max="15111" width="11.42578125" style="291"/>
    <col min="15112" max="15112" width="15.140625" style="291" customWidth="1"/>
    <col min="15113" max="15367" width="11.42578125" style="291"/>
    <col min="15368" max="15368" width="15.140625" style="291" customWidth="1"/>
    <col min="15369" max="15623" width="11.42578125" style="291"/>
    <col min="15624" max="15624" width="15.140625" style="291" customWidth="1"/>
    <col min="15625" max="15879" width="11.42578125" style="291"/>
    <col min="15880" max="15880" width="15.140625" style="291" customWidth="1"/>
    <col min="15881" max="16135" width="11.42578125" style="291"/>
    <col min="16136" max="16136" width="15.140625" style="291" customWidth="1"/>
    <col min="16137" max="16384" width="11.42578125" style="291"/>
  </cols>
  <sheetData>
    <row r="5" spans="2:11" ht="26.25" customHeight="1"/>
    <row r="6" spans="2:11" ht="20.25" customHeight="1">
      <c r="B6" s="583" t="s">
        <v>716</v>
      </c>
      <c r="C6" s="583"/>
      <c r="D6" s="583"/>
      <c r="E6" s="583"/>
      <c r="F6" s="583"/>
      <c r="G6" s="583"/>
      <c r="H6" s="583"/>
      <c r="I6" s="583"/>
      <c r="J6" s="583"/>
      <c r="K6" s="485"/>
    </row>
    <row r="7" spans="2:11" ht="20.25">
      <c r="B7" s="584" t="s">
        <v>717</v>
      </c>
      <c r="C7" s="584"/>
      <c r="D7" s="584"/>
      <c r="E7" s="584"/>
      <c r="F7" s="584"/>
      <c r="G7" s="585" t="s">
        <v>718</v>
      </c>
      <c r="H7" s="585"/>
      <c r="I7" s="585"/>
      <c r="J7" s="585"/>
      <c r="K7" s="485"/>
    </row>
    <row r="9" spans="2:11" ht="15" customHeight="1">
      <c r="B9" s="486" t="s">
        <v>719</v>
      </c>
      <c r="C9" s="487"/>
      <c r="D9" s="487"/>
      <c r="E9" s="486"/>
      <c r="H9" s="488" t="s">
        <v>720</v>
      </c>
      <c r="I9" s="489"/>
      <c r="J9" s="489"/>
    </row>
    <row r="10" spans="2:11">
      <c r="B10" s="586" t="s">
        <v>721</v>
      </c>
      <c r="C10" s="586"/>
      <c r="D10" s="586"/>
      <c r="E10" s="586"/>
      <c r="H10" s="587" t="s">
        <v>722</v>
      </c>
      <c r="I10" s="587"/>
      <c r="J10" s="587"/>
    </row>
    <row r="11" spans="2:11">
      <c r="B11" s="490" t="s">
        <v>0</v>
      </c>
      <c r="C11" s="490" t="s">
        <v>723</v>
      </c>
      <c r="D11" s="490" t="s">
        <v>724</v>
      </c>
      <c r="E11" s="490" t="s">
        <v>725</v>
      </c>
      <c r="H11" s="587"/>
      <c r="I11" s="587"/>
      <c r="J11" s="587"/>
    </row>
    <row r="12" spans="2:11">
      <c r="B12" s="491">
        <v>2006</v>
      </c>
      <c r="C12" s="492">
        <v>40633</v>
      </c>
      <c r="D12" s="492">
        <v>67860</v>
      </c>
      <c r="E12" s="493">
        <v>108493</v>
      </c>
      <c r="H12" s="490" t="s">
        <v>726</v>
      </c>
      <c r="I12" s="490" t="s">
        <v>727</v>
      </c>
      <c r="J12" s="490" t="s">
        <v>728</v>
      </c>
    </row>
    <row r="13" spans="2:11">
      <c r="B13" s="494">
        <v>2007</v>
      </c>
      <c r="C13" s="492">
        <v>54613</v>
      </c>
      <c r="D13" s="492">
        <v>80368</v>
      </c>
      <c r="E13" s="493">
        <v>134981</v>
      </c>
      <c r="H13" s="495" t="s">
        <v>58</v>
      </c>
      <c r="I13" s="496">
        <f>28445+16</f>
        <v>28461</v>
      </c>
      <c r="J13" s="497">
        <f>I13/$I$36</f>
        <v>0.16115442762744397</v>
      </c>
    </row>
    <row r="14" spans="2:11">
      <c r="B14" s="494">
        <v>2008</v>
      </c>
      <c r="C14" s="492">
        <v>60783</v>
      </c>
      <c r="D14" s="492">
        <v>66243</v>
      </c>
      <c r="E14" s="493">
        <v>127026</v>
      </c>
      <c r="H14" s="498" t="s">
        <v>70</v>
      </c>
      <c r="I14" s="499">
        <f>16577+2</f>
        <v>16579</v>
      </c>
      <c r="J14" s="497">
        <f t="shared" ref="J14:J36" si="0">I14/$I$36</f>
        <v>9.387510121342868E-2</v>
      </c>
    </row>
    <row r="15" spans="2:11">
      <c r="B15" s="494">
        <v>2009</v>
      </c>
      <c r="C15" s="492">
        <v>58987</v>
      </c>
      <c r="D15" s="492">
        <v>67096</v>
      </c>
      <c r="E15" s="493">
        <v>126083</v>
      </c>
      <c r="H15" s="498" t="s">
        <v>66</v>
      </c>
      <c r="I15" s="499">
        <f>15573+950</f>
        <v>16523</v>
      </c>
      <c r="J15" s="497">
        <f t="shared" si="0"/>
        <v>9.3558012989292616E-2</v>
      </c>
    </row>
    <row r="16" spans="2:11">
      <c r="B16" s="494">
        <v>2010</v>
      </c>
      <c r="C16" s="492">
        <v>67575</v>
      </c>
      <c r="D16" s="492">
        <v>97956</v>
      </c>
      <c r="E16" s="493">
        <v>165531</v>
      </c>
      <c r="H16" s="498" t="s">
        <v>62</v>
      </c>
      <c r="I16" s="499">
        <v>14229</v>
      </c>
      <c r="J16" s="497">
        <f t="shared" si="0"/>
        <v>8.0568720379146919E-2</v>
      </c>
    </row>
    <row r="17" spans="2:10">
      <c r="B17" s="494">
        <v>2011</v>
      </c>
      <c r="C17" s="492">
        <v>61263</v>
      </c>
      <c r="D17" s="492">
        <v>111882</v>
      </c>
      <c r="E17" s="493">
        <v>173145</v>
      </c>
      <c r="H17" s="498" t="s">
        <v>65</v>
      </c>
      <c r="I17" s="499">
        <v>14216</v>
      </c>
      <c r="J17" s="497">
        <f t="shared" si="0"/>
        <v>8.0495110612829615E-2</v>
      </c>
    </row>
    <row r="18" spans="2:10">
      <c r="B18" s="494">
        <v>2012</v>
      </c>
      <c r="C18" s="492">
        <v>68330</v>
      </c>
      <c r="D18" s="492">
        <v>139441</v>
      </c>
      <c r="E18" s="493">
        <v>207771</v>
      </c>
      <c r="H18" s="498" t="s">
        <v>64</v>
      </c>
      <c r="I18" s="499">
        <v>12507</v>
      </c>
      <c r="J18" s="497">
        <f t="shared" si="0"/>
        <v>7.0818257486962577E-2</v>
      </c>
    </row>
    <row r="19" spans="2:10">
      <c r="B19" s="494">
        <v>2013</v>
      </c>
      <c r="C19" s="492">
        <v>67949</v>
      </c>
      <c r="D19" s="492">
        <v>140433</v>
      </c>
      <c r="E19" s="493">
        <v>208382</v>
      </c>
      <c r="H19" s="498" t="s">
        <v>57</v>
      </c>
      <c r="I19" s="499">
        <f>11798+11</f>
        <v>11809</v>
      </c>
      <c r="J19" s="497">
        <f t="shared" si="0"/>
        <v>6.6865979264695063E-2</v>
      </c>
    </row>
    <row r="20" spans="2:10">
      <c r="B20" s="494">
        <v>2014</v>
      </c>
      <c r="C20" s="492">
        <v>63109.25</v>
      </c>
      <c r="D20" s="492">
        <v>132252</v>
      </c>
      <c r="E20" s="493">
        <v>195361.33333333334</v>
      </c>
      <c r="H20" s="498" t="s">
        <v>218</v>
      </c>
      <c r="I20" s="499">
        <v>11701</v>
      </c>
      <c r="J20" s="497">
        <f t="shared" si="0"/>
        <v>6.6254451975289771E-2</v>
      </c>
    </row>
    <row r="21" spans="2:10">
      <c r="B21" s="494">
        <v>2015</v>
      </c>
      <c r="C21" s="492">
        <v>62729.454545454544</v>
      </c>
      <c r="D21" s="492">
        <v>132975.36363636365</v>
      </c>
      <c r="E21" s="493">
        <v>195704.81818181818</v>
      </c>
      <c r="H21" s="498" t="s">
        <v>60</v>
      </c>
      <c r="I21" s="499">
        <v>7710</v>
      </c>
      <c r="J21" s="497">
        <f t="shared" si="0"/>
        <v>4.3656253715877627E-2</v>
      </c>
    </row>
    <row r="22" spans="2:10">
      <c r="B22" s="494">
        <v>2016</v>
      </c>
      <c r="C22" s="492">
        <v>61873</v>
      </c>
      <c r="D22" s="492">
        <v>112253.41666666667</v>
      </c>
      <c r="E22" s="493">
        <v>174126.41666666666</v>
      </c>
      <c r="H22" s="498" t="s">
        <v>59</v>
      </c>
      <c r="I22" s="499">
        <v>7690</v>
      </c>
      <c r="J22" s="497">
        <f t="shared" si="0"/>
        <v>4.3543007921543316E-2</v>
      </c>
    </row>
    <row r="23" spans="2:10" ht="15.75" thickBot="1">
      <c r="B23" s="500"/>
      <c r="C23" s="500"/>
      <c r="D23" s="500"/>
      <c r="E23" s="500"/>
      <c r="F23" s="368"/>
      <c r="H23" s="498" t="s">
        <v>61</v>
      </c>
      <c r="I23" s="499">
        <f>7350+12</f>
        <v>7362</v>
      </c>
      <c r="J23" s="497">
        <f t="shared" si="0"/>
        <v>4.1685776894460583E-2</v>
      </c>
    </row>
    <row r="24" spans="2:10" ht="15.75" thickBot="1">
      <c r="B24" s="501">
        <v>2017</v>
      </c>
      <c r="C24" s="502">
        <f>AVERAGE(C25:C28)</f>
        <v>61029.75</v>
      </c>
      <c r="D24" s="502">
        <f>AVERAGE(D25:D28)</f>
        <v>114837.75</v>
      </c>
      <c r="E24" s="502">
        <f>AVERAGE(E25:E28)</f>
        <v>175867.5</v>
      </c>
      <c r="F24" s="368"/>
      <c r="H24" s="498" t="s">
        <v>63</v>
      </c>
      <c r="I24" s="499">
        <v>7293</v>
      </c>
      <c r="J24" s="497">
        <f t="shared" si="0"/>
        <v>4.1295078904007201E-2</v>
      </c>
    </row>
    <row r="25" spans="2:10" ht="15.75" thickBot="1">
      <c r="B25" s="503" t="s">
        <v>729</v>
      </c>
      <c r="C25" s="504">
        <v>60771</v>
      </c>
      <c r="D25" s="504">
        <v>115697</v>
      </c>
      <c r="E25" s="505">
        <f>SUM(C25:D25)</f>
        <v>176468</v>
      </c>
      <c r="F25" s="368"/>
      <c r="H25" s="498" t="s">
        <v>71</v>
      </c>
      <c r="I25" s="499">
        <v>6599</v>
      </c>
      <c r="J25" s="497">
        <f t="shared" si="0"/>
        <v>3.7365449840606545E-2</v>
      </c>
    </row>
    <row r="26" spans="2:10" ht="15.75" thickBot="1">
      <c r="B26" s="503" t="s">
        <v>394</v>
      </c>
      <c r="C26" s="504">
        <f>+C33</f>
        <v>61125</v>
      </c>
      <c r="D26" s="504">
        <f>+D33</f>
        <v>115482</v>
      </c>
      <c r="E26" s="505">
        <f>SUM(C26:D26)</f>
        <v>176607</v>
      </c>
      <c r="H26" s="498" t="s">
        <v>68</v>
      </c>
      <c r="I26" s="499">
        <v>4986</v>
      </c>
      <c r="J26" s="497">
        <f t="shared" si="0"/>
        <v>2.8232176527544207E-2</v>
      </c>
    </row>
    <row r="27" spans="2:10" ht="15.75" thickBot="1">
      <c r="B27" s="503" t="s">
        <v>399</v>
      </c>
      <c r="C27" s="504">
        <v>61098</v>
      </c>
      <c r="D27" s="504">
        <v>112690</v>
      </c>
      <c r="E27" s="505">
        <f>SUM(C27:D27)</f>
        <v>173788</v>
      </c>
      <c r="F27" s="345"/>
      <c r="H27" s="498" t="s">
        <v>67</v>
      </c>
      <c r="I27" s="499">
        <v>3734</v>
      </c>
      <c r="J27" s="497">
        <f t="shared" si="0"/>
        <v>2.1142989802216221E-2</v>
      </c>
    </row>
    <row r="28" spans="2:10">
      <c r="B28" s="503" t="s">
        <v>432</v>
      </c>
      <c r="C28" s="504">
        <v>61125</v>
      </c>
      <c r="D28" s="504">
        <v>115482</v>
      </c>
      <c r="E28" s="505">
        <f>SUM(C28:D28)</f>
        <v>176607</v>
      </c>
      <c r="F28" s="345"/>
      <c r="H28" s="498" t="s">
        <v>357</v>
      </c>
      <c r="I28" s="499">
        <v>2409</v>
      </c>
      <c r="J28" s="497">
        <f t="shared" si="0"/>
        <v>1.364045592756799E-2</v>
      </c>
    </row>
    <row r="29" spans="2:10">
      <c r="B29" s="506"/>
      <c r="C29" s="507"/>
      <c r="D29" s="507"/>
      <c r="E29" s="507"/>
      <c r="F29" s="345"/>
      <c r="H29" s="498" t="s">
        <v>69</v>
      </c>
      <c r="I29" s="499">
        <v>1890</v>
      </c>
      <c r="J29" s="497">
        <f t="shared" si="0"/>
        <v>1.070172756459257E-2</v>
      </c>
    </row>
    <row r="30" spans="2:10" ht="15" customHeight="1">
      <c r="B30" s="488" t="s">
        <v>730</v>
      </c>
      <c r="C30" s="507"/>
      <c r="D30" s="507"/>
      <c r="E30" s="507"/>
      <c r="F30" s="345"/>
      <c r="H30" s="498" t="s">
        <v>46</v>
      </c>
      <c r="I30" s="499">
        <v>685</v>
      </c>
      <c r="J30" s="497">
        <f t="shared" si="0"/>
        <v>3.8786684559502173E-3</v>
      </c>
    </row>
    <row r="31" spans="2:10">
      <c r="B31" s="582" t="s">
        <v>731</v>
      </c>
      <c r="C31" s="582"/>
      <c r="D31" s="582"/>
      <c r="E31" s="582"/>
      <c r="F31" s="345"/>
      <c r="H31" s="498" t="s">
        <v>571</v>
      </c>
      <c r="I31" s="499">
        <v>94</v>
      </c>
      <c r="J31" s="497">
        <f t="shared" si="0"/>
        <v>5.3225523337127069E-4</v>
      </c>
    </row>
    <row r="32" spans="2:10">
      <c r="B32" s="490" t="s">
        <v>0</v>
      </c>
      <c r="C32" s="490" t="s">
        <v>723</v>
      </c>
      <c r="D32" s="490" t="s">
        <v>724</v>
      </c>
      <c r="E32" s="490" t="s">
        <v>725</v>
      </c>
      <c r="F32" s="345"/>
      <c r="H32" s="498" t="s">
        <v>573</v>
      </c>
      <c r="I32" s="499">
        <v>76</v>
      </c>
      <c r="J32" s="497">
        <f t="shared" si="0"/>
        <v>4.3033401847038905E-4</v>
      </c>
    </row>
    <row r="33" spans="2:17">
      <c r="B33" s="508">
        <v>2017</v>
      </c>
      <c r="C33" s="504">
        <v>61125</v>
      </c>
      <c r="D33" s="504">
        <v>115482</v>
      </c>
      <c r="E33" s="505">
        <f>SUM(C33:D33)</f>
        <v>176607</v>
      </c>
      <c r="F33" s="345"/>
      <c r="H33" s="498" t="s">
        <v>570</v>
      </c>
      <c r="I33" s="499">
        <v>22</v>
      </c>
      <c r="J33" s="497">
        <f t="shared" si="0"/>
        <v>1.2457037376774419E-4</v>
      </c>
    </row>
    <row r="34" spans="2:17">
      <c r="B34" s="508">
        <v>2016</v>
      </c>
      <c r="C34" s="492">
        <v>61873</v>
      </c>
      <c r="D34" s="492">
        <v>112253.41666666667</v>
      </c>
      <c r="E34" s="493">
        <v>174126.41666666666</v>
      </c>
      <c r="F34" s="345"/>
      <c r="H34" s="498" t="s">
        <v>567</v>
      </c>
      <c r="I34" s="499">
        <v>16</v>
      </c>
      <c r="J34" s="497">
        <f t="shared" si="0"/>
        <v>9.0596635467450333E-5</v>
      </c>
    </row>
    <row r="35" spans="2:17">
      <c r="B35" s="509" t="s">
        <v>38</v>
      </c>
      <c r="C35" s="510">
        <f>C33/C34-1</f>
        <v>-1.208927965348372E-2</v>
      </c>
      <c r="D35" s="511">
        <f>D33/D34-1</f>
        <v>2.876155959618143E-2</v>
      </c>
      <c r="E35" s="510">
        <f>E33/E34-1</f>
        <v>1.4245875960808174E-2</v>
      </c>
      <c r="F35" s="345"/>
      <c r="H35" s="498" t="s">
        <v>572</v>
      </c>
      <c r="I35" s="499">
        <v>16</v>
      </c>
      <c r="J35" s="497">
        <f t="shared" si="0"/>
        <v>9.0596635467450333E-5</v>
      </c>
    </row>
    <row r="36" spans="2:17">
      <c r="B36" s="506"/>
      <c r="C36" s="507"/>
      <c r="D36" s="507"/>
      <c r="E36" s="507"/>
      <c r="F36" s="345"/>
      <c r="H36" s="512" t="s">
        <v>419</v>
      </c>
      <c r="I36" s="513">
        <f>SUM(I13:I35)</f>
        <v>176607</v>
      </c>
      <c r="J36" s="497">
        <f t="shared" si="0"/>
        <v>1</v>
      </c>
    </row>
    <row r="37" spans="2:17">
      <c r="B37" s="506"/>
      <c r="C37" s="368"/>
      <c r="D37" s="368"/>
      <c r="E37" s="368"/>
      <c r="F37" s="345"/>
    </row>
    <row r="38" spans="2:17">
      <c r="B38" s="506"/>
      <c r="C38" s="507"/>
      <c r="D38" s="507"/>
      <c r="E38" s="507"/>
    </row>
    <row r="39" spans="2:17">
      <c r="N39" s="490" t="s">
        <v>0</v>
      </c>
      <c r="O39" s="490" t="s">
        <v>723</v>
      </c>
      <c r="P39" s="490" t="s">
        <v>724</v>
      </c>
      <c r="Q39" s="490" t="s">
        <v>725</v>
      </c>
    </row>
    <row r="40" spans="2:17">
      <c r="N40" s="491">
        <v>2006</v>
      </c>
      <c r="O40" s="492">
        <v>40633</v>
      </c>
      <c r="P40" s="492">
        <v>67860</v>
      </c>
      <c r="Q40" s="493">
        <v>108493</v>
      </c>
    </row>
    <row r="41" spans="2:17">
      <c r="N41" s="494">
        <v>2007</v>
      </c>
      <c r="O41" s="492">
        <v>54613</v>
      </c>
      <c r="P41" s="492">
        <v>80368</v>
      </c>
      <c r="Q41" s="493">
        <v>134981</v>
      </c>
    </row>
    <row r="42" spans="2:17">
      <c r="C42" s="368"/>
      <c r="D42" s="368"/>
      <c r="E42" s="507"/>
      <c r="N42" s="494">
        <v>2008</v>
      </c>
      <c r="O42" s="492">
        <v>60783</v>
      </c>
      <c r="P42" s="492">
        <v>66243</v>
      </c>
      <c r="Q42" s="493">
        <v>127026</v>
      </c>
    </row>
    <row r="43" spans="2:17">
      <c r="C43" s="368"/>
      <c r="D43" s="368"/>
      <c r="E43" s="507"/>
      <c r="N43" s="494">
        <v>2009</v>
      </c>
      <c r="O43" s="492">
        <v>58987</v>
      </c>
      <c r="P43" s="492">
        <v>67096</v>
      </c>
      <c r="Q43" s="493">
        <v>126083</v>
      </c>
    </row>
    <row r="44" spans="2:17">
      <c r="E44" s="507"/>
      <c r="N44" s="494">
        <v>2010</v>
      </c>
      <c r="O44" s="492">
        <v>67575</v>
      </c>
      <c r="P44" s="492">
        <v>97956</v>
      </c>
      <c r="Q44" s="493">
        <v>165531</v>
      </c>
    </row>
    <row r="45" spans="2:17">
      <c r="B45" s="514"/>
      <c r="C45" s="507"/>
      <c r="D45" s="507"/>
      <c r="E45" s="507"/>
      <c r="N45" s="494">
        <v>2011</v>
      </c>
      <c r="O45" s="492">
        <v>61263</v>
      </c>
      <c r="P45" s="492">
        <v>111882</v>
      </c>
      <c r="Q45" s="493">
        <v>173145</v>
      </c>
    </row>
    <row r="46" spans="2:17">
      <c r="B46" s="514"/>
      <c r="C46" s="507"/>
      <c r="D46" s="507"/>
      <c r="E46" s="507"/>
      <c r="N46" s="494">
        <v>2012</v>
      </c>
      <c r="O46" s="492">
        <v>68330</v>
      </c>
      <c r="P46" s="492">
        <v>139441</v>
      </c>
      <c r="Q46" s="493">
        <v>207771</v>
      </c>
    </row>
    <row r="47" spans="2:17">
      <c r="B47" s="514"/>
      <c r="C47" s="507"/>
      <c r="D47" s="507"/>
      <c r="E47" s="507"/>
      <c r="N47" s="494">
        <v>2013</v>
      </c>
      <c r="O47" s="492">
        <v>67949</v>
      </c>
      <c r="P47" s="492">
        <v>140433</v>
      </c>
      <c r="Q47" s="493">
        <v>208382</v>
      </c>
    </row>
    <row r="48" spans="2:17">
      <c r="B48" s="514"/>
      <c r="C48" s="507"/>
      <c r="D48" s="507"/>
      <c r="E48" s="507"/>
      <c r="N48" s="494">
        <v>2014</v>
      </c>
      <c r="O48" s="492">
        <v>63109.25</v>
      </c>
      <c r="P48" s="492">
        <v>132252</v>
      </c>
      <c r="Q48" s="493">
        <v>195361.33333333334</v>
      </c>
    </row>
    <row r="49" spans="2:17">
      <c r="B49" s="514"/>
      <c r="C49" s="507"/>
      <c r="D49" s="507"/>
      <c r="E49" s="507"/>
      <c r="N49" s="494">
        <v>2015</v>
      </c>
      <c r="O49" s="492">
        <v>62729.454545454544</v>
      </c>
      <c r="P49" s="492">
        <v>132975.36363636365</v>
      </c>
      <c r="Q49" s="493">
        <v>195704.81818181818</v>
      </c>
    </row>
    <row r="50" spans="2:17">
      <c r="B50" s="514"/>
      <c r="C50" s="507"/>
      <c r="D50" s="507"/>
      <c r="E50" s="507"/>
      <c r="N50" s="494">
        <v>2016</v>
      </c>
      <c r="O50" s="492">
        <v>61873</v>
      </c>
      <c r="P50" s="492">
        <v>112253.41666666667</v>
      </c>
      <c r="Q50" s="493">
        <v>174126.41666666666</v>
      </c>
    </row>
    <row r="51" spans="2:17">
      <c r="B51" s="514"/>
      <c r="C51" s="507"/>
      <c r="D51" s="507"/>
      <c r="E51" s="507"/>
      <c r="N51" s="515">
        <v>2017</v>
      </c>
      <c r="O51" s="492">
        <v>60653.5</v>
      </c>
      <c r="P51" s="492">
        <v>114782.5</v>
      </c>
      <c r="Q51" s="516">
        <v>176607</v>
      </c>
    </row>
    <row r="52" spans="2:17">
      <c r="B52" s="514"/>
      <c r="C52" s="507"/>
      <c r="D52" s="507"/>
      <c r="E52" s="507"/>
    </row>
    <row r="53" spans="2:17">
      <c r="B53" s="514"/>
      <c r="C53" s="507"/>
      <c r="D53" s="507"/>
      <c r="E53" s="507"/>
    </row>
    <row r="54" spans="2:17" ht="67.5" customHeight="1">
      <c r="B54" s="588" t="s">
        <v>732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17"/>
    </row>
    <row r="55" spans="2:17">
      <c r="B55" s="589" t="s">
        <v>442</v>
      </c>
      <c r="C55" s="589"/>
      <c r="D55" s="589"/>
      <c r="E55" s="589"/>
      <c r="F55" s="589"/>
      <c r="G55" s="589"/>
      <c r="H55" s="589"/>
      <c r="I55" s="589"/>
      <c r="J55" s="589"/>
      <c r="K55" s="589"/>
      <c r="L55" s="589"/>
    </row>
    <row r="56" spans="2:17"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</row>
    <row r="57" spans="2:17">
      <c r="B57" s="591"/>
      <c r="C57" s="591"/>
      <c r="D57" s="591"/>
      <c r="E57" s="591"/>
      <c r="F57" s="591"/>
      <c r="G57" s="591"/>
      <c r="H57" s="591"/>
      <c r="I57" s="591"/>
      <c r="J57" s="591"/>
      <c r="K57" s="591"/>
      <c r="L57" s="591"/>
    </row>
    <row r="58" spans="2:17">
      <c r="B58" s="591"/>
      <c r="C58" s="591"/>
      <c r="D58" s="591"/>
      <c r="E58" s="591"/>
      <c r="F58" s="591"/>
      <c r="G58" s="591"/>
      <c r="H58" s="591"/>
      <c r="I58" s="591"/>
      <c r="J58" s="591"/>
      <c r="K58" s="591"/>
      <c r="L58" s="591"/>
    </row>
  </sheetData>
  <mergeCells count="11">
    <mergeCell ref="B54:L54"/>
    <mergeCell ref="B55:L55"/>
    <mergeCell ref="B56:L56"/>
    <mergeCell ref="B57:L57"/>
    <mergeCell ref="B58:L58"/>
    <mergeCell ref="B31:E31"/>
    <mergeCell ref="B6:J6"/>
    <mergeCell ref="B7:F7"/>
    <mergeCell ref="G7:J7"/>
    <mergeCell ref="B10:E10"/>
    <mergeCell ref="H10:J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16" workbookViewId="0">
      <selection activeCell="C42" sqref="C42:M42"/>
    </sheetView>
  </sheetViews>
  <sheetFormatPr baseColWidth="10" defaultRowHeight="15"/>
  <cols>
    <col min="1" max="1" width="14.85546875" style="291" bestFit="1" customWidth="1"/>
    <col min="2" max="256" width="11.42578125" style="291"/>
    <col min="257" max="257" width="14.85546875" style="291" bestFit="1" customWidth="1"/>
    <col min="258" max="512" width="11.42578125" style="291"/>
    <col min="513" max="513" width="14.85546875" style="291" bestFit="1" customWidth="1"/>
    <col min="514" max="768" width="11.42578125" style="291"/>
    <col min="769" max="769" width="14.85546875" style="291" bestFit="1" customWidth="1"/>
    <col min="770" max="1024" width="11.42578125" style="291"/>
    <col min="1025" max="1025" width="14.85546875" style="291" bestFit="1" customWidth="1"/>
    <col min="1026" max="1280" width="11.42578125" style="291"/>
    <col min="1281" max="1281" width="14.85546875" style="291" bestFit="1" customWidth="1"/>
    <col min="1282" max="1536" width="11.42578125" style="291"/>
    <col min="1537" max="1537" width="14.85546875" style="291" bestFit="1" customWidth="1"/>
    <col min="1538" max="1792" width="11.42578125" style="291"/>
    <col min="1793" max="1793" width="14.85546875" style="291" bestFit="1" customWidth="1"/>
    <col min="1794" max="2048" width="11.42578125" style="291"/>
    <col min="2049" max="2049" width="14.85546875" style="291" bestFit="1" customWidth="1"/>
    <col min="2050" max="2304" width="11.42578125" style="291"/>
    <col min="2305" max="2305" width="14.85546875" style="291" bestFit="1" customWidth="1"/>
    <col min="2306" max="2560" width="11.42578125" style="291"/>
    <col min="2561" max="2561" width="14.85546875" style="291" bestFit="1" customWidth="1"/>
    <col min="2562" max="2816" width="11.42578125" style="291"/>
    <col min="2817" max="2817" width="14.85546875" style="291" bestFit="1" customWidth="1"/>
    <col min="2818" max="3072" width="11.42578125" style="291"/>
    <col min="3073" max="3073" width="14.85546875" style="291" bestFit="1" customWidth="1"/>
    <col min="3074" max="3328" width="11.42578125" style="291"/>
    <col min="3329" max="3329" width="14.85546875" style="291" bestFit="1" customWidth="1"/>
    <col min="3330" max="3584" width="11.42578125" style="291"/>
    <col min="3585" max="3585" width="14.85546875" style="291" bestFit="1" customWidth="1"/>
    <col min="3586" max="3840" width="11.42578125" style="291"/>
    <col min="3841" max="3841" width="14.85546875" style="291" bestFit="1" customWidth="1"/>
    <col min="3842" max="4096" width="11.42578125" style="291"/>
    <col min="4097" max="4097" width="14.85546875" style="291" bestFit="1" customWidth="1"/>
    <col min="4098" max="4352" width="11.42578125" style="291"/>
    <col min="4353" max="4353" width="14.85546875" style="291" bestFit="1" customWidth="1"/>
    <col min="4354" max="4608" width="11.42578125" style="291"/>
    <col min="4609" max="4609" width="14.85546875" style="291" bestFit="1" customWidth="1"/>
    <col min="4610" max="4864" width="11.42578125" style="291"/>
    <col min="4865" max="4865" width="14.85546875" style="291" bestFit="1" customWidth="1"/>
    <col min="4866" max="5120" width="11.42578125" style="291"/>
    <col min="5121" max="5121" width="14.85546875" style="291" bestFit="1" customWidth="1"/>
    <col min="5122" max="5376" width="11.42578125" style="291"/>
    <col min="5377" max="5377" width="14.85546875" style="291" bestFit="1" customWidth="1"/>
    <col min="5378" max="5632" width="11.42578125" style="291"/>
    <col min="5633" max="5633" width="14.85546875" style="291" bestFit="1" customWidth="1"/>
    <col min="5634" max="5888" width="11.42578125" style="291"/>
    <col min="5889" max="5889" width="14.85546875" style="291" bestFit="1" customWidth="1"/>
    <col min="5890" max="6144" width="11.42578125" style="291"/>
    <col min="6145" max="6145" width="14.85546875" style="291" bestFit="1" customWidth="1"/>
    <col min="6146" max="6400" width="11.42578125" style="291"/>
    <col min="6401" max="6401" width="14.85546875" style="291" bestFit="1" customWidth="1"/>
    <col min="6402" max="6656" width="11.42578125" style="291"/>
    <col min="6657" max="6657" width="14.85546875" style="291" bestFit="1" customWidth="1"/>
    <col min="6658" max="6912" width="11.42578125" style="291"/>
    <col min="6913" max="6913" width="14.85546875" style="291" bestFit="1" customWidth="1"/>
    <col min="6914" max="7168" width="11.42578125" style="291"/>
    <col min="7169" max="7169" width="14.85546875" style="291" bestFit="1" customWidth="1"/>
    <col min="7170" max="7424" width="11.42578125" style="291"/>
    <col min="7425" max="7425" width="14.85546875" style="291" bestFit="1" customWidth="1"/>
    <col min="7426" max="7680" width="11.42578125" style="291"/>
    <col min="7681" max="7681" width="14.85546875" style="291" bestFit="1" customWidth="1"/>
    <col min="7682" max="7936" width="11.42578125" style="291"/>
    <col min="7937" max="7937" width="14.85546875" style="291" bestFit="1" customWidth="1"/>
    <col min="7938" max="8192" width="11.42578125" style="291"/>
    <col min="8193" max="8193" width="14.85546875" style="291" bestFit="1" customWidth="1"/>
    <col min="8194" max="8448" width="11.42578125" style="291"/>
    <col min="8449" max="8449" width="14.85546875" style="291" bestFit="1" customWidth="1"/>
    <col min="8450" max="8704" width="11.42578125" style="291"/>
    <col min="8705" max="8705" width="14.85546875" style="291" bestFit="1" customWidth="1"/>
    <col min="8706" max="8960" width="11.42578125" style="291"/>
    <col min="8961" max="8961" width="14.85546875" style="291" bestFit="1" customWidth="1"/>
    <col min="8962" max="9216" width="11.42578125" style="291"/>
    <col min="9217" max="9217" width="14.85546875" style="291" bestFit="1" customWidth="1"/>
    <col min="9218" max="9472" width="11.42578125" style="291"/>
    <col min="9473" max="9473" width="14.85546875" style="291" bestFit="1" customWidth="1"/>
    <col min="9474" max="9728" width="11.42578125" style="291"/>
    <col min="9729" max="9729" width="14.85546875" style="291" bestFit="1" customWidth="1"/>
    <col min="9730" max="9984" width="11.42578125" style="291"/>
    <col min="9985" max="9985" width="14.85546875" style="291" bestFit="1" customWidth="1"/>
    <col min="9986" max="10240" width="11.42578125" style="291"/>
    <col min="10241" max="10241" width="14.85546875" style="291" bestFit="1" customWidth="1"/>
    <col min="10242" max="10496" width="11.42578125" style="291"/>
    <col min="10497" max="10497" width="14.85546875" style="291" bestFit="1" customWidth="1"/>
    <col min="10498" max="10752" width="11.42578125" style="291"/>
    <col min="10753" max="10753" width="14.85546875" style="291" bestFit="1" customWidth="1"/>
    <col min="10754" max="11008" width="11.42578125" style="291"/>
    <col min="11009" max="11009" width="14.85546875" style="291" bestFit="1" customWidth="1"/>
    <col min="11010" max="11264" width="11.42578125" style="291"/>
    <col min="11265" max="11265" width="14.85546875" style="291" bestFit="1" customWidth="1"/>
    <col min="11266" max="11520" width="11.42578125" style="291"/>
    <col min="11521" max="11521" width="14.85546875" style="291" bestFit="1" customWidth="1"/>
    <col min="11522" max="11776" width="11.42578125" style="291"/>
    <col min="11777" max="11777" width="14.85546875" style="291" bestFit="1" customWidth="1"/>
    <col min="11778" max="12032" width="11.42578125" style="291"/>
    <col min="12033" max="12033" width="14.85546875" style="291" bestFit="1" customWidth="1"/>
    <col min="12034" max="12288" width="11.42578125" style="291"/>
    <col min="12289" max="12289" width="14.85546875" style="291" bestFit="1" customWidth="1"/>
    <col min="12290" max="12544" width="11.42578125" style="291"/>
    <col min="12545" max="12545" width="14.85546875" style="291" bestFit="1" customWidth="1"/>
    <col min="12546" max="12800" width="11.42578125" style="291"/>
    <col min="12801" max="12801" width="14.85546875" style="291" bestFit="1" customWidth="1"/>
    <col min="12802" max="13056" width="11.42578125" style="291"/>
    <col min="13057" max="13057" width="14.85546875" style="291" bestFit="1" customWidth="1"/>
    <col min="13058" max="13312" width="11.42578125" style="291"/>
    <col min="13313" max="13313" width="14.85546875" style="291" bestFit="1" customWidth="1"/>
    <col min="13314" max="13568" width="11.42578125" style="291"/>
    <col min="13569" max="13569" width="14.85546875" style="291" bestFit="1" customWidth="1"/>
    <col min="13570" max="13824" width="11.42578125" style="291"/>
    <col min="13825" max="13825" width="14.85546875" style="291" bestFit="1" customWidth="1"/>
    <col min="13826" max="14080" width="11.42578125" style="291"/>
    <col min="14081" max="14081" width="14.85546875" style="291" bestFit="1" customWidth="1"/>
    <col min="14082" max="14336" width="11.42578125" style="291"/>
    <col min="14337" max="14337" width="14.85546875" style="291" bestFit="1" customWidth="1"/>
    <col min="14338" max="14592" width="11.42578125" style="291"/>
    <col min="14593" max="14593" width="14.85546875" style="291" bestFit="1" customWidth="1"/>
    <col min="14594" max="14848" width="11.42578125" style="291"/>
    <col min="14849" max="14849" width="14.85546875" style="291" bestFit="1" customWidth="1"/>
    <col min="14850" max="15104" width="11.42578125" style="291"/>
    <col min="15105" max="15105" width="14.85546875" style="291" bestFit="1" customWidth="1"/>
    <col min="15106" max="15360" width="11.42578125" style="291"/>
    <col min="15361" max="15361" width="14.85546875" style="291" bestFit="1" customWidth="1"/>
    <col min="15362" max="15616" width="11.42578125" style="291"/>
    <col min="15617" max="15617" width="14.85546875" style="291" bestFit="1" customWidth="1"/>
    <col min="15618" max="15872" width="11.42578125" style="291"/>
    <col min="15873" max="15873" width="14.85546875" style="291" bestFit="1" customWidth="1"/>
    <col min="15874" max="16128" width="11.42578125" style="291"/>
    <col min="16129" max="16129" width="14.85546875" style="291" bestFit="1" customWidth="1"/>
    <col min="16130" max="16384" width="11.42578125" style="291"/>
  </cols>
  <sheetData>
    <row r="1" spans="1:18" ht="26.25">
      <c r="A1" s="594" t="s">
        <v>733</v>
      </c>
      <c r="B1" s="594"/>
      <c r="C1" s="594"/>
      <c r="D1" s="594"/>
      <c r="E1" s="594"/>
      <c r="F1" s="594"/>
      <c r="G1" s="594"/>
      <c r="H1" s="594"/>
      <c r="I1" s="594"/>
      <c r="J1" s="485"/>
      <c r="K1" s="485"/>
      <c r="L1" s="485"/>
      <c r="M1" s="485"/>
      <c r="N1" s="485"/>
      <c r="O1" s="485"/>
      <c r="P1" s="485"/>
      <c r="Q1" s="485"/>
      <c r="R1" s="485"/>
    </row>
    <row r="2" spans="1:18" ht="20.25">
      <c r="A2" s="584" t="s">
        <v>717</v>
      </c>
      <c r="B2" s="584"/>
      <c r="C2" s="584"/>
      <c r="D2" s="584"/>
      <c r="E2" s="584"/>
      <c r="F2" s="585" t="s">
        <v>718</v>
      </c>
      <c r="G2" s="585"/>
      <c r="H2" s="585"/>
      <c r="I2" s="585"/>
      <c r="J2" s="485"/>
      <c r="K2" s="485"/>
      <c r="L2" s="485"/>
      <c r="M2" s="485"/>
      <c r="N2" s="485"/>
      <c r="O2" s="485"/>
      <c r="P2" s="485"/>
      <c r="Q2" s="485"/>
      <c r="R2" s="485"/>
    </row>
    <row r="5" spans="1:18" ht="20.25">
      <c r="A5" s="595" t="s">
        <v>734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</row>
    <row r="7" spans="1:18" ht="87.75" customHeight="1" thickBot="1">
      <c r="A7" s="597" t="s">
        <v>735</v>
      </c>
      <c r="B7" s="598"/>
      <c r="C7" s="598"/>
    </row>
    <row r="8" spans="1:18" ht="38.25">
      <c r="A8" s="518" t="s">
        <v>726</v>
      </c>
      <c r="B8" s="519" t="s">
        <v>736</v>
      </c>
      <c r="C8" s="520" t="s">
        <v>569</v>
      </c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</row>
    <row r="9" spans="1:18">
      <c r="A9" s="495" t="s">
        <v>58</v>
      </c>
      <c r="B9" s="496">
        <f>28445+16</f>
        <v>28461</v>
      </c>
      <c r="C9" s="522">
        <f>B9/$B$32</f>
        <v>0.16115442762744397</v>
      </c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</row>
    <row r="10" spans="1:18">
      <c r="A10" s="498" t="s">
        <v>70</v>
      </c>
      <c r="B10" s="499">
        <f>16577+2</f>
        <v>16579</v>
      </c>
      <c r="C10" s="523">
        <f t="shared" ref="C10:C32" si="0">B10/$B$32</f>
        <v>9.387510121342868E-2</v>
      </c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</row>
    <row r="11" spans="1:18">
      <c r="A11" s="498" t="s">
        <v>66</v>
      </c>
      <c r="B11" s="499">
        <f>15573+950</f>
        <v>16523</v>
      </c>
      <c r="C11" s="523">
        <f t="shared" si="0"/>
        <v>9.3558012989292616E-2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</row>
    <row r="12" spans="1:18">
      <c r="A12" s="498" t="s">
        <v>62</v>
      </c>
      <c r="B12" s="499">
        <v>14229</v>
      </c>
      <c r="C12" s="523">
        <f t="shared" si="0"/>
        <v>8.0568720379146919E-2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</row>
    <row r="13" spans="1:18">
      <c r="A13" s="498" t="s">
        <v>65</v>
      </c>
      <c r="B13" s="499">
        <v>14216</v>
      </c>
      <c r="C13" s="523">
        <f t="shared" si="0"/>
        <v>8.0495110612829615E-2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</row>
    <row r="14" spans="1:18">
      <c r="A14" s="498" t="s">
        <v>64</v>
      </c>
      <c r="B14" s="499">
        <v>12507</v>
      </c>
      <c r="C14" s="523">
        <f t="shared" si="0"/>
        <v>7.0818257486962577E-2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</row>
    <row r="15" spans="1:18">
      <c r="A15" s="498" t="s">
        <v>57</v>
      </c>
      <c r="B15" s="499">
        <f>11798+11</f>
        <v>11809</v>
      </c>
      <c r="C15" s="523">
        <f t="shared" si="0"/>
        <v>6.6865979264695063E-2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</row>
    <row r="16" spans="1:18">
      <c r="A16" s="498" t="s">
        <v>218</v>
      </c>
      <c r="B16" s="499">
        <v>11701</v>
      </c>
      <c r="C16" s="523">
        <f t="shared" si="0"/>
        <v>6.6254451975289771E-2</v>
      </c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</row>
    <row r="17" spans="1:18">
      <c r="A17" s="498" t="s">
        <v>60</v>
      </c>
      <c r="B17" s="499">
        <v>7710</v>
      </c>
      <c r="C17" s="523">
        <f t="shared" si="0"/>
        <v>4.3656253715877627E-2</v>
      </c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</row>
    <row r="18" spans="1:18">
      <c r="A18" s="498" t="s">
        <v>59</v>
      </c>
      <c r="B18" s="499">
        <v>7690</v>
      </c>
      <c r="C18" s="523">
        <f t="shared" si="0"/>
        <v>4.3543007921543316E-2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</row>
    <row r="19" spans="1:18">
      <c r="A19" s="498" t="s">
        <v>61</v>
      </c>
      <c r="B19" s="499">
        <f>7350+12</f>
        <v>7362</v>
      </c>
      <c r="C19" s="523">
        <f t="shared" si="0"/>
        <v>4.1685776894460583E-2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</row>
    <row r="20" spans="1:18">
      <c r="A20" s="498" t="s">
        <v>63</v>
      </c>
      <c r="B20" s="499">
        <v>7293</v>
      </c>
      <c r="C20" s="523">
        <f t="shared" si="0"/>
        <v>4.1295078904007201E-2</v>
      </c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</row>
    <row r="21" spans="1:18">
      <c r="A21" s="498" t="s">
        <v>71</v>
      </c>
      <c r="B21" s="499">
        <v>6599</v>
      </c>
      <c r="C21" s="523">
        <f t="shared" si="0"/>
        <v>3.7365449840606545E-2</v>
      </c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</row>
    <row r="22" spans="1:18">
      <c r="A22" s="498" t="s">
        <v>68</v>
      </c>
      <c r="B22" s="499">
        <v>4986</v>
      </c>
      <c r="C22" s="523">
        <f t="shared" si="0"/>
        <v>2.8232176527544207E-2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</row>
    <row r="23" spans="1:18">
      <c r="A23" s="498" t="s">
        <v>67</v>
      </c>
      <c r="B23" s="499">
        <v>3734</v>
      </c>
      <c r="C23" s="523">
        <f t="shared" si="0"/>
        <v>2.1142989802216221E-2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</row>
    <row r="24" spans="1:18">
      <c r="A24" s="498" t="s">
        <v>357</v>
      </c>
      <c r="B24" s="499">
        <v>2409</v>
      </c>
      <c r="C24" s="523">
        <f t="shared" si="0"/>
        <v>1.364045592756799E-2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</row>
    <row r="25" spans="1:18">
      <c r="A25" s="498" t="s">
        <v>69</v>
      </c>
      <c r="B25" s="499">
        <v>1890</v>
      </c>
      <c r="C25" s="523">
        <f t="shared" si="0"/>
        <v>1.070172756459257E-2</v>
      </c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</row>
    <row r="26" spans="1:18">
      <c r="A26" s="498" t="s">
        <v>46</v>
      </c>
      <c r="B26" s="499">
        <v>685</v>
      </c>
      <c r="C26" s="524">
        <f t="shared" si="0"/>
        <v>3.8786684559502173E-3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</row>
    <row r="27" spans="1:18">
      <c r="A27" s="498" t="s">
        <v>571</v>
      </c>
      <c r="B27" s="499">
        <v>94</v>
      </c>
      <c r="C27" s="525">
        <f t="shared" si="0"/>
        <v>5.3225523337127069E-4</v>
      </c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</row>
    <row r="28" spans="1:18">
      <c r="A28" s="498" t="s">
        <v>573</v>
      </c>
      <c r="B28" s="499">
        <v>76</v>
      </c>
      <c r="C28" s="525">
        <f t="shared" si="0"/>
        <v>4.3033401847038905E-4</v>
      </c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</row>
    <row r="29" spans="1:18">
      <c r="A29" s="498" t="s">
        <v>570</v>
      </c>
      <c r="B29" s="499">
        <v>22</v>
      </c>
      <c r="C29" s="525">
        <f t="shared" si="0"/>
        <v>1.2457037376774419E-4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</row>
    <row r="30" spans="1:18">
      <c r="A30" s="498" t="s">
        <v>567</v>
      </c>
      <c r="B30" s="499">
        <v>16</v>
      </c>
      <c r="C30" s="525">
        <f t="shared" si="0"/>
        <v>9.0596635467450333E-5</v>
      </c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</row>
    <row r="31" spans="1:18">
      <c r="A31" s="498" t="s">
        <v>572</v>
      </c>
      <c r="B31" s="499">
        <v>16</v>
      </c>
      <c r="C31" s="526">
        <f t="shared" si="0"/>
        <v>9.0596635467450333E-5</v>
      </c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</row>
    <row r="32" spans="1:18" ht="15.75" thickBot="1">
      <c r="A32" s="512" t="s">
        <v>419</v>
      </c>
      <c r="B32" s="513">
        <f>SUM(B9:B31)</f>
        <v>176607</v>
      </c>
      <c r="C32" s="527">
        <f t="shared" si="0"/>
        <v>1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</row>
    <row r="33" spans="1:18">
      <c r="A33" s="528"/>
      <c r="B33" s="529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</row>
    <row r="34" spans="1:18">
      <c r="A34" s="521"/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</row>
    <row r="35" spans="1:18" ht="63.75" customHeight="1">
      <c r="A35" s="592" t="s">
        <v>737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</row>
    <row r="36" spans="1:18">
      <c r="A36" s="592" t="s">
        <v>560</v>
      </c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</row>
    <row r="37" spans="1:18" ht="20.25">
      <c r="A37" s="595" t="s">
        <v>738</v>
      </c>
      <c r="B37" s="595"/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</row>
    <row r="39" spans="1:18" ht="18.75">
      <c r="A39" s="598" t="s">
        <v>739</v>
      </c>
      <c r="B39" s="598"/>
      <c r="C39" s="598"/>
      <c r="D39" s="598"/>
      <c r="E39" s="598"/>
      <c r="F39" s="598"/>
      <c r="G39" s="598"/>
      <c r="H39" s="598"/>
      <c r="I39" s="598"/>
      <c r="J39" s="598"/>
      <c r="K39" s="530"/>
      <c r="L39" s="530"/>
      <c r="M39" s="530"/>
      <c r="N39" s="530"/>
      <c r="O39" s="530"/>
      <c r="P39" s="530"/>
      <c r="Q39" s="530"/>
      <c r="R39" s="530"/>
    </row>
    <row r="40" spans="1:18" ht="19.5" thickBot="1">
      <c r="A40" s="598"/>
      <c r="B40" s="598"/>
      <c r="C40" s="598"/>
      <c r="D40" s="598"/>
      <c r="E40" s="598"/>
      <c r="F40" s="598"/>
      <c r="G40" s="598"/>
      <c r="H40" s="598"/>
      <c r="I40" s="598"/>
      <c r="J40" s="598"/>
      <c r="K40" s="530"/>
      <c r="L40" s="530"/>
      <c r="M40" s="530"/>
      <c r="N40" s="530"/>
      <c r="O40" s="530"/>
      <c r="P40" s="530"/>
      <c r="Q40" s="530"/>
      <c r="R40" s="530"/>
    </row>
    <row r="41" spans="1:18" ht="18.75">
      <c r="A41" s="599" t="s">
        <v>0</v>
      </c>
      <c r="B41" s="600"/>
      <c r="C41" s="531">
        <v>2007</v>
      </c>
      <c r="D41" s="531">
        <v>2008</v>
      </c>
      <c r="E41" s="531">
        <v>2009</v>
      </c>
      <c r="F41" s="531">
        <v>2010</v>
      </c>
      <c r="G41" s="531">
        <v>2011</v>
      </c>
      <c r="H41" s="531">
        <v>2012</v>
      </c>
      <c r="I41" s="531">
        <v>2013</v>
      </c>
      <c r="J41" s="531">
        <v>2014</v>
      </c>
      <c r="K41" s="531" t="s">
        <v>740</v>
      </c>
      <c r="L41" s="531" t="s">
        <v>741</v>
      </c>
      <c r="M41" s="531" t="s">
        <v>742</v>
      </c>
      <c r="N41" s="530"/>
      <c r="O41" s="530"/>
      <c r="P41" s="530"/>
      <c r="Q41" s="530"/>
      <c r="R41" s="530"/>
    </row>
    <row r="42" spans="1:18" ht="19.5" thickBot="1">
      <c r="A42" s="601" t="s">
        <v>736</v>
      </c>
      <c r="B42" s="602"/>
      <c r="C42" s="532">
        <v>119695</v>
      </c>
      <c r="D42" s="532">
        <v>137497</v>
      </c>
      <c r="E42" s="532">
        <v>119557</v>
      </c>
      <c r="F42" s="532">
        <v>137917</v>
      </c>
      <c r="G42" s="532">
        <v>154408</v>
      </c>
      <c r="H42" s="532">
        <v>191539</v>
      </c>
      <c r="I42" s="532">
        <v>213472</v>
      </c>
      <c r="J42" s="533">
        <v>188594</v>
      </c>
      <c r="K42" s="533">
        <v>202027</v>
      </c>
      <c r="L42" s="533">
        <v>165746</v>
      </c>
      <c r="M42" s="533">
        <v>176607</v>
      </c>
      <c r="N42" s="530"/>
      <c r="O42" s="530"/>
      <c r="P42" s="530"/>
      <c r="Q42" s="530"/>
      <c r="R42" s="530"/>
    </row>
    <row r="43" spans="1:18" ht="66" customHeight="1">
      <c r="A43" s="592" t="s">
        <v>743</v>
      </c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</row>
    <row r="44" spans="1:18">
      <c r="A44" s="592" t="s">
        <v>442</v>
      </c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</row>
    <row r="69" spans="1:18" ht="30.75" customHeight="1"/>
    <row r="70" spans="1:18" ht="71.25" customHeight="1">
      <c r="A70" s="592" t="s">
        <v>732</v>
      </c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</row>
    <row r="71" spans="1:18">
      <c r="A71" s="592" t="s">
        <v>560</v>
      </c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</row>
  </sheetData>
  <mergeCells count="16">
    <mergeCell ref="A43:R43"/>
    <mergeCell ref="A44:R44"/>
    <mergeCell ref="A70:R70"/>
    <mergeCell ref="A71:R71"/>
    <mergeCell ref="A36:R36"/>
    <mergeCell ref="A37:R37"/>
    <mergeCell ref="A39:J39"/>
    <mergeCell ref="A40:J40"/>
    <mergeCell ref="A41:B41"/>
    <mergeCell ref="A42:B42"/>
    <mergeCell ref="A35:R35"/>
    <mergeCell ref="A1:I1"/>
    <mergeCell ref="A2:E2"/>
    <mergeCell ref="F2:I2"/>
    <mergeCell ref="A5:R5"/>
    <mergeCell ref="A7:C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5"/>
  <sheetViews>
    <sheetView topLeftCell="A25" zoomScale="145" zoomScaleNormal="145" workbookViewId="0">
      <selection activeCell="E47" sqref="A37:E47"/>
    </sheetView>
  </sheetViews>
  <sheetFormatPr baseColWidth="10" defaultColWidth="11.5703125" defaultRowHeight="12" customHeight="1"/>
  <cols>
    <col min="1" max="1" width="49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9" ht="12" customHeight="1">
      <c r="A1" s="110" t="s">
        <v>225</v>
      </c>
    </row>
    <row r="2" spans="1:9" ht="12" customHeight="1">
      <c r="A2" s="113" t="s">
        <v>44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543" t="s">
        <v>404</v>
      </c>
      <c r="C5" s="544"/>
      <c r="D5" s="545"/>
    </row>
    <row r="6" spans="1:9" ht="12" customHeight="1">
      <c r="A6" s="117" t="s">
        <v>74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50</v>
      </c>
      <c r="B10" s="130">
        <f>SUM(B11:B21)</f>
        <v>702461.21864700003</v>
      </c>
      <c r="C10" s="131">
        <f>SUM(C11:C21)</f>
        <v>754892.68322800018</v>
      </c>
      <c r="D10" s="132">
        <v>1</v>
      </c>
      <c r="E10" s="133">
        <f t="shared" ref="E10:E21" si="0">C10/B10-1</f>
        <v>7.4639657235437973E-2</v>
      </c>
    </row>
    <row r="11" spans="1:9" ht="12" customHeight="1">
      <c r="A11" s="134" t="s">
        <v>33</v>
      </c>
      <c r="B11" s="135">
        <v>170882.41168600001</v>
      </c>
      <c r="C11" s="136">
        <v>163986.347511</v>
      </c>
      <c r="D11" s="137">
        <f t="shared" ref="D11:D21" si="1">C11/$C$10</f>
        <v>0.21723133785027191</v>
      </c>
      <c r="E11" s="138">
        <f>C11/B11-1</f>
        <v>-4.0355611247292478E-2</v>
      </c>
      <c r="F11" s="315"/>
      <c r="G11" s="295"/>
      <c r="H11" s="180"/>
      <c r="I11" s="274"/>
    </row>
    <row r="12" spans="1:9" ht="12" customHeight="1">
      <c r="A12" s="134" t="s">
        <v>300</v>
      </c>
      <c r="B12" s="135">
        <v>53428.675286999998</v>
      </c>
      <c r="C12" s="136">
        <v>148037.49648999999</v>
      </c>
      <c r="D12" s="137">
        <f>C12/$C$10</f>
        <v>0.19610402879648556</v>
      </c>
      <c r="E12" s="138">
        <f t="shared" si="0"/>
        <v>1.7707498959087937</v>
      </c>
    </row>
    <row r="13" spans="1:9" ht="12" customHeight="1">
      <c r="A13" s="134" t="s">
        <v>39</v>
      </c>
      <c r="B13" s="135">
        <v>148496.94294099999</v>
      </c>
      <c r="C13" s="136">
        <v>127328.046475</v>
      </c>
      <c r="D13" s="137">
        <f>C13/$C$10</f>
        <v>0.16867039422150965</v>
      </c>
      <c r="E13" s="138">
        <f t="shared" si="0"/>
        <v>-0.14255442601542778</v>
      </c>
    </row>
    <row r="14" spans="1:9" ht="12" customHeight="1">
      <c r="A14" s="134" t="s">
        <v>40</v>
      </c>
      <c r="B14" s="135">
        <v>104205.30871999999</v>
      </c>
      <c r="C14" s="136">
        <v>96420.399689000027</v>
      </c>
      <c r="D14" s="137">
        <f t="shared" si="1"/>
        <v>0.12772729399985214</v>
      </c>
      <c r="E14" s="138">
        <f t="shared" si="0"/>
        <v>-7.4707412958374686E-2</v>
      </c>
    </row>
    <row r="15" spans="1:9" ht="12" customHeight="1">
      <c r="A15" s="134" t="s">
        <v>41</v>
      </c>
      <c r="B15" s="135">
        <v>65840.912400000001</v>
      </c>
      <c r="C15" s="136">
        <v>62071.887188000001</v>
      </c>
      <c r="D15" s="137">
        <f t="shared" si="1"/>
        <v>8.2226107852276575E-2</v>
      </c>
      <c r="E15" s="138">
        <f>C15/B15-1</f>
        <v>-5.7244425610359584E-2</v>
      </c>
    </row>
    <row r="16" spans="1:9" ht="12" customHeight="1">
      <c r="A16" s="134" t="s">
        <v>35</v>
      </c>
      <c r="B16" s="135">
        <v>44184.759100000003</v>
      </c>
      <c r="C16" s="136">
        <v>52670.215499999998</v>
      </c>
      <c r="D16" s="137">
        <f t="shared" si="1"/>
        <v>6.9771792296060731E-2</v>
      </c>
      <c r="E16" s="138">
        <f t="shared" si="0"/>
        <v>0.19204487187076213</v>
      </c>
    </row>
    <row r="17" spans="1:5" ht="12" customHeight="1">
      <c r="A17" s="134" t="s">
        <v>212</v>
      </c>
      <c r="B17" s="135">
        <v>43503.911599999999</v>
      </c>
      <c r="C17" s="136">
        <v>36823.140599999999</v>
      </c>
      <c r="D17" s="137">
        <f t="shared" si="1"/>
        <v>4.8779305215332587E-2</v>
      </c>
      <c r="E17" s="138">
        <f t="shared" si="0"/>
        <v>-0.15356713348966999</v>
      </c>
    </row>
    <row r="18" spans="1:5" ht="12" customHeight="1">
      <c r="A18" s="134" t="s">
        <v>34</v>
      </c>
      <c r="B18" s="135">
        <v>14155.5311</v>
      </c>
      <c r="C18" s="136">
        <v>14136.7266</v>
      </c>
      <c r="D18" s="137">
        <f t="shared" si="1"/>
        <v>1.8726803046427574E-2</v>
      </c>
      <c r="E18" s="138">
        <f t="shared" si="0"/>
        <v>-1.3284206623657147E-3</v>
      </c>
    </row>
    <row r="19" spans="1:5" ht="12" customHeight="1">
      <c r="A19" s="134" t="s">
        <v>249</v>
      </c>
      <c r="B19" s="135">
        <v>13797.380795999999</v>
      </c>
      <c r="C19" s="136">
        <v>13767.824026</v>
      </c>
      <c r="D19" s="137">
        <f t="shared" si="1"/>
        <v>1.8238120903659238E-2</v>
      </c>
      <c r="E19" s="138">
        <f t="shared" si="0"/>
        <v>-2.1422015117947835E-3</v>
      </c>
    </row>
    <row r="20" spans="1:5" ht="12" customHeight="1">
      <c r="A20" s="134" t="s">
        <v>42</v>
      </c>
      <c r="B20" s="135">
        <v>9868.5600049999994</v>
      </c>
      <c r="C20" s="136">
        <v>9952.116833</v>
      </c>
      <c r="D20" s="137">
        <f t="shared" si="1"/>
        <v>1.3183485618702391E-2</v>
      </c>
      <c r="E20" s="138">
        <f t="shared" si="0"/>
        <v>8.4669726847348414E-3</v>
      </c>
    </row>
    <row r="21" spans="1:5" ht="12" customHeight="1" thickBot="1">
      <c r="A21" s="134" t="s">
        <v>43</v>
      </c>
      <c r="B21" s="135">
        <v>34096.825012000008</v>
      </c>
      <c r="C21" s="139">
        <v>29698.482315999998</v>
      </c>
      <c r="D21" s="140">
        <f t="shared" si="1"/>
        <v>3.9341330199421432E-2</v>
      </c>
      <c r="E21" s="138">
        <f t="shared" si="0"/>
        <v>-0.12899566732245782</v>
      </c>
    </row>
    <row r="22" spans="1:5" ht="12" customHeight="1" thickBot="1"/>
    <row r="23" spans="1:5" ht="12" customHeight="1" thickBot="1">
      <c r="A23" s="129" t="s">
        <v>304</v>
      </c>
      <c r="B23" s="144">
        <f>SUM(B24:B34)</f>
        <v>51084115.961844206</v>
      </c>
      <c r="C23" s="131">
        <f>SUM(C24:C34)</f>
        <v>47304518.856783271</v>
      </c>
      <c r="D23" s="132">
        <v>1</v>
      </c>
      <c r="E23" s="133">
        <f>C23/B23-1</f>
        <v>-7.3987716805826609E-2</v>
      </c>
    </row>
    <row r="24" spans="1:5" ht="12" customHeight="1">
      <c r="A24" s="134" t="s">
        <v>37</v>
      </c>
      <c r="B24" s="135">
        <v>7628260.9393000007</v>
      </c>
      <c r="C24" s="136">
        <v>5420594.3707999997</v>
      </c>
      <c r="D24" s="137">
        <f>C24/$C$23</f>
        <v>0.11458935640400683</v>
      </c>
      <c r="E24" s="138">
        <f>C24/B24-1</f>
        <v>-0.28940627307678135</v>
      </c>
    </row>
    <row r="25" spans="1:5" ht="12" customHeight="1">
      <c r="A25" s="134" t="s">
        <v>45</v>
      </c>
      <c r="B25" s="135">
        <v>5103768.1447000001</v>
      </c>
      <c r="C25" s="136">
        <v>5101468.6804900002</v>
      </c>
      <c r="D25" s="137">
        <f>C25/$C$23</f>
        <v>0.10784315756249302</v>
      </c>
      <c r="E25" s="138">
        <f>C25/B25-1</f>
        <v>-4.505424511471734E-4</v>
      </c>
    </row>
    <row r="26" spans="1:5" ht="12" customHeight="1">
      <c r="A26" s="134" t="s">
        <v>332</v>
      </c>
      <c r="B26" s="135">
        <v>2297341.1962319999</v>
      </c>
      <c r="C26" s="136">
        <v>2516038.1761110001</v>
      </c>
      <c r="D26" s="137">
        <f t="shared" ref="D26:D34" si="2">C26/$C$23</f>
        <v>5.3188114728075511E-2</v>
      </c>
      <c r="E26" s="138">
        <f t="shared" ref="E26:E34" si="3">C26/B26-1</f>
        <v>9.5195689799015382E-2</v>
      </c>
    </row>
    <row r="27" spans="1:5" ht="12" customHeight="1">
      <c r="A27" s="134" t="s">
        <v>47</v>
      </c>
      <c r="B27" s="135">
        <v>2365378.1785639999</v>
      </c>
      <c r="C27" s="136">
        <v>2334185.6540599996</v>
      </c>
      <c r="D27" s="137">
        <f t="shared" si="2"/>
        <v>4.9343819797150038E-2</v>
      </c>
      <c r="E27" s="138">
        <f t="shared" si="3"/>
        <v>-1.318711941569406E-2</v>
      </c>
    </row>
    <row r="28" spans="1:5" ht="12" customHeight="1">
      <c r="A28" s="134" t="s">
        <v>49</v>
      </c>
      <c r="B28" s="135">
        <v>1930417.65</v>
      </c>
      <c r="C28" s="136">
        <v>2086369.5419999999</v>
      </c>
      <c r="D28" s="137">
        <f t="shared" si="2"/>
        <v>4.4105079016163021E-2</v>
      </c>
      <c r="E28" s="138">
        <f t="shared" si="3"/>
        <v>8.0786606981136933E-2</v>
      </c>
    </row>
    <row r="29" spans="1:5" ht="12" customHeight="1">
      <c r="A29" s="134" t="s">
        <v>36</v>
      </c>
      <c r="B29" s="135">
        <v>1822188.4599000001</v>
      </c>
      <c r="C29" s="136">
        <v>1955124.6675900002</v>
      </c>
      <c r="D29" s="137">
        <f t="shared" si="2"/>
        <v>4.1330611003765519E-2</v>
      </c>
      <c r="E29" s="138">
        <f t="shared" si="3"/>
        <v>7.295414860507643E-2</v>
      </c>
    </row>
    <row r="30" spans="1:5" ht="12" customHeight="1">
      <c r="A30" s="134" t="s">
        <v>48</v>
      </c>
      <c r="B30" s="135">
        <v>2007873.4180069999</v>
      </c>
      <c r="C30" s="136">
        <v>1851933.194932</v>
      </c>
      <c r="D30" s="137">
        <f t="shared" si="2"/>
        <v>3.9149181509251112E-2</v>
      </c>
      <c r="E30" s="138">
        <f t="shared" si="3"/>
        <v>-7.7664369514779952E-2</v>
      </c>
    </row>
    <row r="31" spans="1:5" ht="12" customHeight="1">
      <c r="A31" s="134" t="s">
        <v>250</v>
      </c>
      <c r="B31" s="135">
        <v>1879272.8976060001</v>
      </c>
      <c r="C31" s="136">
        <v>1804306.3616899999</v>
      </c>
      <c r="D31" s="137">
        <f t="shared" si="2"/>
        <v>3.8142367902580833E-2</v>
      </c>
      <c r="E31" s="138">
        <f t="shared" si="3"/>
        <v>-3.9891245178653834E-2</v>
      </c>
    </row>
    <row r="32" spans="1:5" ht="12" customHeight="1">
      <c r="A32" s="134" t="s">
        <v>42</v>
      </c>
      <c r="B32" s="135">
        <v>1498405.594</v>
      </c>
      <c r="C32" s="136">
        <v>1528904.0366</v>
      </c>
      <c r="D32" s="137">
        <f t="shared" si="2"/>
        <v>3.2320464800177577E-2</v>
      </c>
      <c r="E32" s="138">
        <f t="shared" si="3"/>
        <v>2.0353930018763622E-2</v>
      </c>
    </row>
    <row r="33" spans="1:5" ht="12" customHeight="1">
      <c r="A33" s="134" t="s">
        <v>396</v>
      </c>
      <c r="B33" s="135">
        <v>1404843.3237099999</v>
      </c>
      <c r="C33" s="136">
        <v>1351145.5190880001</v>
      </c>
      <c r="D33" s="137">
        <f t="shared" si="2"/>
        <v>2.8562715608178128E-2</v>
      </c>
      <c r="E33" s="138">
        <f t="shared" si="3"/>
        <v>-3.8223340436420505E-2</v>
      </c>
    </row>
    <row r="34" spans="1:5" ht="12" customHeight="1" thickBot="1">
      <c r="A34" s="134" t="s">
        <v>43</v>
      </c>
      <c r="B34" s="135">
        <v>23146366.159825206</v>
      </c>
      <c r="C34" s="139">
        <v>21354448.65342227</v>
      </c>
      <c r="D34" s="140">
        <f t="shared" si="2"/>
        <v>0.4514251316681584</v>
      </c>
      <c r="E34" s="138">
        <f t="shared" si="3"/>
        <v>-7.7416795968307972E-2</v>
      </c>
    </row>
    <row r="35" spans="1:5" ht="12" customHeight="1" thickBot="1">
      <c r="A35" s="141"/>
      <c r="B35" s="142"/>
      <c r="C35" s="267"/>
    </row>
    <row r="36" spans="1:5" ht="12" customHeight="1" thickBot="1">
      <c r="A36" s="129" t="s">
        <v>54</v>
      </c>
      <c r="B36" s="144">
        <f>SUM(B37:B47)</f>
        <v>103614.590065</v>
      </c>
      <c r="C36" s="131">
        <f>SUM(C37:C47)</f>
        <v>98785.417487000028</v>
      </c>
      <c r="D36" s="132">
        <v>1</v>
      </c>
      <c r="E36" s="133">
        <f t="shared" ref="E36:E47" si="4">C36/B36-1</f>
        <v>-4.6607071214300078E-2</v>
      </c>
    </row>
    <row r="37" spans="1:5" ht="12" customHeight="1">
      <c r="A37" s="134" t="s">
        <v>34</v>
      </c>
      <c r="B37" s="135">
        <v>4251.2330000000002</v>
      </c>
      <c r="C37" s="136">
        <v>9159.1170000000002</v>
      </c>
      <c r="D37" s="137">
        <f t="shared" ref="D37:D47" si="5">C37/$C$36</f>
        <v>9.2717298089116468E-2</v>
      </c>
      <c r="E37" s="138">
        <f t="shared" si="4"/>
        <v>1.1544613056964885</v>
      </c>
    </row>
    <row r="38" spans="1:5" ht="12" customHeight="1">
      <c r="A38" s="134" t="s">
        <v>358</v>
      </c>
      <c r="B38" s="135">
        <v>10252.813337000001</v>
      </c>
      <c r="C38" s="136">
        <v>8625.9054629999991</v>
      </c>
      <c r="D38" s="137">
        <f t="shared" si="5"/>
        <v>8.7319623507539981E-2</v>
      </c>
      <c r="E38" s="138">
        <f t="shared" si="4"/>
        <v>-0.15867916644194358</v>
      </c>
    </row>
    <row r="39" spans="1:5" ht="12" customHeight="1">
      <c r="A39" s="134" t="s">
        <v>84</v>
      </c>
      <c r="B39" s="135">
        <v>7657.1910500000004</v>
      </c>
      <c r="C39" s="136">
        <v>7596.8507799999998</v>
      </c>
      <c r="D39" s="137">
        <f t="shared" si="5"/>
        <v>7.6902552757847395E-2</v>
      </c>
      <c r="E39" s="138">
        <f t="shared" si="4"/>
        <v>-7.8802095449872489E-3</v>
      </c>
    </row>
    <row r="40" spans="1:5" ht="12" customHeight="1">
      <c r="A40" s="134" t="s">
        <v>250</v>
      </c>
      <c r="B40" s="135">
        <v>7301.1042880000005</v>
      </c>
      <c r="C40" s="136">
        <v>7380.7255850000001</v>
      </c>
      <c r="D40" s="137">
        <f t="shared" si="5"/>
        <v>7.4714727869336472E-2</v>
      </c>
      <c r="E40" s="138">
        <f t="shared" si="4"/>
        <v>1.090537730448049E-2</v>
      </c>
    </row>
    <row r="41" spans="1:5" ht="12" customHeight="1">
      <c r="A41" s="134" t="s">
        <v>51</v>
      </c>
      <c r="B41" s="135">
        <v>10679.276276000001</v>
      </c>
      <c r="C41" s="136">
        <v>6373.2023669999999</v>
      </c>
      <c r="D41" s="137">
        <f t="shared" si="5"/>
        <v>6.4515619097714513E-2</v>
      </c>
      <c r="E41" s="138">
        <f t="shared" si="4"/>
        <v>-0.40321776473535265</v>
      </c>
    </row>
    <row r="42" spans="1:5" ht="12" customHeight="1">
      <c r="A42" s="134" t="s">
        <v>39</v>
      </c>
      <c r="B42" s="135">
        <v>4351.1412380000002</v>
      </c>
      <c r="C42" s="136">
        <v>6099.771718</v>
      </c>
      <c r="D42" s="137">
        <f t="shared" si="5"/>
        <v>6.1747693871949456E-2</v>
      </c>
      <c r="E42" s="138">
        <f t="shared" si="4"/>
        <v>0.40187858411228161</v>
      </c>
    </row>
    <row r="43" spans="1:5" ht="12" customHeight="1">
      <c r="A43" s="134" t="s">
        <v>249</v>
      </c>
      <c r="B43" s="135">
        <v>6153.7417679999999</v>
      </c>
      <c r="C43" s="136">
        <v>5514.0179980000003</v>
      </c>
      <c r="D43" s="137">
        <f t="shared" si="5"/>
        <v>5.58181373149092E-2</v>
      </c>
      <c r="E43" s="138">
        <f t="shared" si="4"/>
        <v>-0.1039568760143007</v>
      </c>
    </row>
    <row r="44" spans="1:5" ht="12" customHeight="1">
      <c r="A44" s="134" t="s">
        <v>52</v>
      </c>
      <c r="B44" s="135">
        <v>4793.706612</v>
      </c>
      <c r="C44" s="136">
        <v>5458.4082330000001</v>
      </c>
      <c r="D44" s="137">
        <f t="shared" si="5"/>
        <v>5.5255202355330595E-2</v>
      </c>
      <c r="E44" s="138">
        <f t="shared" si="4"/>
        <v>0.13866130633361351</v>
      </c>
    </row>
    <row r="45" spans="1:5" ht="12" customHeight="1">
      <c r="A45" s="134" t="s">
        <v>215</v>
      </c>
      <c r="B45" s="135">
        <v>6340.7524670000003</v>
      </c>
      <c r="C45" s="136">
        <v>4708.5959709999997</v>
      </c>
      <c r="D45" s="137">
        <f t="shared" si="5"/>
        <v>4.766488911806889E-2</v>
      </c>
      <c r="E45" s="138">
        <f t="shared" si="4"/>
        <v>-0.25740738256136697</v>
      </c>
    </row>
    <row r="46" spans="1:5" ht="12" customHeight="1">
      <c r="A46" s="134" t="s">
        <v>301</v>
      </c>
      <c r="B46" s="135">
        <v>6004.9855820000002</v>
      </c>
      <c r="C46" s="136">
        <v>4581.5008369999996</v>
      </c>
      <c r="D46" s="137">
        <f t="shared" si="5"/>
        <v>4.6378311227999985E-2</v>
      </c>
      <c r="E46" s="138">
        <f t="shared" si="4"/>
        <v>-0.23705048506143123</v>
      </c>
    </row>
    <row r="47" spans="1:5" ht="12" customHeight="1">
      <c r="A47" s="134" t="s">
        <v>43</v>
      </c>
      <c r="B47" s="135">
        <v>35828.644446999991</v>
      </c>
      <c r="C47" s="136">
        <v>33287.321535000017</v>
      </c>
      <c r="D47" s="137">
        <f t="shared" si="5"/>
        <v>0.33696594479018693</v>
      </c>
      <c r="E47" s="138">
        <f t="shared" si="4"/>
        <v>-7.0929920772170418E-2</v>
      </c>
    </row>
    <row r="48" spans="1:5" ht="12" customHeight="1" thickBot="1"/>
    <row r="49" spans="1:5" ht="12" customHeight="1" thickBot="1">
      <c r="A49" s="129" t="s">
        <v>305</v>
      </c>
      <c r="B49" s="130">
        <f>SUM(B50:B60)</f>
        <v>1419218.3600020001</v>
      </c>
      <c r="C49" s="131">
        <f>SUM(C50:C60)</f>
        <v>1377931.455752</v>
      </c>
      <c r="D49" s="132">
        <v>1</v>
      </c>
      <c r="E49" s="133">
        <f t="shared" ref="E49:E60" si="6">C49/B49-1</f>
        <v>-2.9091298008533384E-2</v>
      </c>
    </row>
    <row r="50" spans="1:5" ht="12" customHeight="1">
      <c r="A50" s="134" t="s">
        <v>250</v>
      </c>
      <c r="B50" s="135">
        <v>237472.87607700002</v>
      </c>
      <c r="C50" s="136">
        <v>260314.63834599996</v>
      </c>
      <c r="D50" s="137">
        <f t="shared" ref="D50:D60" si="7">C50/$C$49</f>
        <v>0.18891697207386446</v>
      </c>
      <c r="E50" s="138">
        <f t="shared" si="6"/>
        <v>9.6186826244499368E-2</v>
      </c>
    </row>
    <row r="51" spans="1:5" ht="12" customHeight="1">
      <c r="A51" s="134" t="s">
        <v>39</v>
      </c>
      <c r="B51" s="135">
        <v>228464.47900200001</v>
      </c>
      <c r="C51" s="136">
        <v>194436.680632</v>
      </c>
      <c r="D51" s="137">
        <f t="shared" si="7"/>
        <v>0.14110765801908995</v>
      </c>
      <c r="E51" s="138">
        <f t="shared" si="6"/>
        <v>-0.14894130815715179</v>
      </c>
    </row>
    <row r="52" spans="1:5" ht="12" customHeight="1">
      <c r="A52" s="134" t="s">
        <v>36</v>
      </c>
      <c r="B52" s="135">
        <v>130557.44932000001</v>
      </c>
      <c r="C52" s="136">
        <v>142596.83535400001</v>
      </c>
      <c r="D52" s="137">
        <f t="shared" si="7"/>
        <v>0.10348616018507134</v>
      </c>
      <c r="E52" s="138">
        <f t="shared" si="6"/>
        <v>9.2215236255811961E-2</v>
      </c>
    </row>
    <row r="53" spans="1:5" ht="12" customHeight="1">
      <c r="A53" s="134" t="s">
        <v>51</v>
      </c>
      <c r="B53" s="135">
        <v>134213.507832</v>
      </c>
      <c r="C53" s="136">
        <v>68017.542011999991</v>
      </c>
      <c r="D53" s="137">
        <f t="shared" si="7"/>
        <v>4.936206494747572E-2</v>
      </c>
      <c r="E53" s="138">
        <f t="shared" si="6"/>
        <v>-0.4932138865102903</v>
      </c>
    </row>
    <row r="54" spans="1:5" ht="12" customHeight="1">
      <c r="A54" s="134" t="s">
        <v>358</v>
      </c>
      <c r="B54" s="135">
        <v>63395.314213999998</v>
      </c>
      <c r="C54" s="136">
        <v>54742.035171999996</v>
      </c>
      <c r="D54" s="137">
        <f>C54/$C$49</f>
        <v>3.9727691057117764E-2</v>
      </c>
      <c r="E54" s="138">
        <f>C54/B54-1</f>
        <v>-0.1364971394067015</v>
      </c>
    </row>
    <row r="55" spans="1:5" ht="12" customHeight="1">
      <c r="A55" s="134" t="s">
        <v>398</v>
      </c>
      <c r="B55" s="135">
        <v>31004.053667</v>
      </c>
      <c r="C55" s="136">
        <v>54045.914382000003</v>
      </c>
      <c r="D55" s="137">
        <f t="shared" si="7"/>
        <v>3.9222498446052738E-2</v>
      </c>
      <c r="E55" s="138">
        <f t="shared" si="6"/>
        <v>0.74318864760336889</v>
      </c>
    </row>
    <row r="56" spans="1:5" ht="12" customHeight="1">
      <c r="A56" s="134" t="s">
        <v>34</v>
      </c>
      <c r="B56" s="135">
        <v>19484.016958</v>
      </c>
      <c r="C56" s="136">
        <v>43358.086249</v>
      </c>
      <c r="D56" s="137">
        <f t="shared" si="7"/>
        <v>3.1466068989141061E-2</v>
      </c>
      <c r="E56" s="138">
        <f t="shared" si="6"/>
        <v>1.2253155672397154</v>
      </c>
    </row>
    <row r="57" spans="1:5" ht="12" customHeight="1">
      <c r="A57" s="134" t="s">
        <v>35</v>
      </c>
      <c r="B57" s="135">
        <v>42817.071046999998</v>
      </c>
      <c r="C57" s="136">
        <v>40527.402811</v>
      </c>
      <c r="D57" s="137">
        <f t="shared" si="7"/>
        <v>2.941176982485123E-2</v>
      </c>
      <c r="E57" s="138">
        <f t="shared" si="6"/>
        <v>-5.347559232827126E-2</v>
      </c>
    </row>
    <row r="58" spans="1:5" ht="12" customHeight="1">
      <c r="A58" s="134" t="s">
        <v>249</v>
      </c>
      <c r="B58" s="135">
        <v>41911.920969999999</v>
      </c>
      <c r="C58" s="136">
        <v>39514.566862</v>
      </c>
      <c r="D58" s="137">
        <f t="shared" si="7"/>
        <v>2.8676728945443153E-2</v>
      </c>
      <c r="E58" s="138">
        <f t="shared" si="6"/>
        <v>-5.7199814575809915E-2</v>
      </c>
    </row>
    <row r="59" spans="1:5" ht="12" customHeight="1">
      <c r="A59" s="134" t="s">
        <v>40</v>
      </c>
      <c r="B59" s="135">
        <v>39022.188807999999</v>
      </c>
      <c r="C59" s="136">
        <v>39163.406175999997</v>
      </c>
      <c r="D59" s="137">
        <f t="shared" si="7"/>
        <v>2.8421882679662568E-2</v>
      </c>
      <c r="E59" s="138">
        <f t="shared" si="6"/>
        <v>3.6188992035999235E-3</v>
      </c>
    </row>
    <row r="60" spans="1:5" ht="12" customHeight="1">
      <c r="A60" s="134" t="s">
        <v>43</v>
      </c>
      <c r="B60" s="135">
        <v>450875.48210700013</v>
      </c>
      <c r="C60" s="136">
        <v>441214.347756</v>
      </c>
      <c r="D60" s="137">
        <f t="shared" si="7"/>
        <v>0.32020050483223</v>
      </c>
      <c r="E60" s="138">
        <f t="shared" si="6"/>
        <v>-2.1427499907185843E-2</v>
      </c>
    </row>
    <row r="61" spans="1:5" ht="12" customHeight="1" thickBot="1"/>
    <row r="62" spans="1:5" ht="12" customHeight="1" thickBot="1">
      <c r="A62" s="129" t="s">
        <v>55</v>
      </c>
      <c r="B62" s="130">
        <f>SUM(B63:B73)</f>
        <v>416111.83975500002</v>
      </c>
      <c r="C62" s="131">
        <f>SUM(C63:C73)</f>
        <v>455567.60654999991</v>
      </c>
      <c r="D62" s="132">
        <v>1</v>
      </c>
      <c r="E62" s="133">
        <f t="shared" ref="E62:E73" si="8">C62/B62-1</f>
        <v>9.4820101293514814E-2</v>
      </c>
    </row>
    <row r="63" spans="1:5" ht="12" customHeight="1">
      <c r="A63" s="134" t="s">
        <v>39</v>
      </c>
      <c r="B63" s="135">
        <v>65128.446122000001</v>
      </c>
      <c r="C63" s="145">
        <v>123755.618311</v>
      </c>
      <c r="D63" s="146">
        <f t="shared" ref="D63:D73" si="9">C63/$C$62</f>
        <v>0.27165148823507812</v>
      </c>
      <c r="E63" s="138">
        <f t="shared" si="8"/>
        <v>0.90017765937756788</v>
      </c>
    </row>
    <row r="64" spans="1:5" ht="12" customHeight="1">
      <c r="A64" s="134" t="s">
        <v>249</v>
      </c>
      <c r="B64" s="135">
        <v>61626.320135000002</v>
      </c>
      <c r="C64" s="136">
        <v>55295.103391999997</v>
      </c>
      <c r="D64" s="137">
        <f t="shared" si="9"/>
        <v>0.12137628443503301</v>
      </c>
      <c r="E64" s="138">
        <f t="shared" si="8"/>
        <v>-0.1027355962376254</v>
      </c>
    </row>
    <row r="65" spans="1:7" ht="12" customHeight="1">
      <c r="A65" s="134" t="s">
        <v>51</v>
      </c>
      <c r="B65" s="135">
        <v>62324.742167999997</v>
      </c>
      <c r="C65" s="136">
        <v>46824.536330000003</v>
      </c>
      <c r="D65" s="137">
        <f t="shared" si="9"/>
        <v>0.10278284859760078</v>
      </c>
      <c r="E65" s="138">
        <f t="shared" si="8"/>
        <v>-0.24870068128349865</v>
      </c>
      <c r="G65" s="180"/>
    </row>
    <row r="66" spans="1:7" ht="12" customHeight="1">
      <c r="A66" s="134" t="s">
        <v>358</v>
      </c>
      <c r="B66" s="135">
        <v>35677.754138999997</v>
      </c>
      <c r="C66" s="136">
        <v>33893.384296999997</v>
      </c>
      <c r="D66" s="137">
        <f t="shared" si="9"/>
        <v>7.4398143787425097E-2</v>
      </c>
      <c r="E66" s="138">
        <f t="shared" si="8"/>
        <v>-5.0013513604250992E-2</v>
      </c>
    </row>
    <row r="67" spans="1:7" ht="12" customHeight="1">
      <c r="A67" s="134" t="s">
        <v>34</v>
      </c>
      <c r="B67" s="135">
        <v>13088.4573</v>
      </c>
      <c r="C67" s="136">
        <v>22619.255700000002</v>
      </c>
      <c r="D67" s="137">
        <f t="shared" si="9"/>
        <v>4.965071127707029E-2</v>
      </c>
      <c r="E67" s="138">
        <f t="shared" si="8"/>
        <v>0.72818348118078058</v>
      </c>
    </row>
    <row r="68" spans="1:7" ht="12" customHeight="1">
      <c r="A68" s="134" t="s">
        <v>84</v>
      </c>
      <c r="B68" s="135">
        <v>12303.780580000001</v>
      </c>
      <c r="C68" s="136">
        <v>17747.47812</v>
      </c>
      <c r="D68" s="137">
        <f t="shared" si="9"/>
        <v>3.8956848258815263E-2</v>
      </c>
      <c r="E68" s="138">
        <f t="shared" si="8"/>
        <v>0.44244104522221561</v>
      </c>
    </row>
    <row r="69" spans="1:7" ht="12" customHeight="1">
      <c r="A69" s="134" t="s">
        <v>53</v>
      </c>
      <c r="B69" s="135">
        <v>16922.826964</v>
      </c>
      <c r="C69" s="136">
        <v>15305.621059999999</v>
      </c>
      <c r="D69" s="137">
        <f t="shared" si="9"/>
        <v>3.359681601575893E-2</v>
      </c>
      <c r="E69" s="138">
        <f t="shared" si="8"/>
        <v>-9.5563578558138573E-2</v>
      </c>
    </row>
    <row r="70" spans="1:7" ht="12" customHeight="1">
      <c r="A70" s="134" t="s">
        <v>215</v>
      </c>
      <c r="B70" s="135">
        <v>21677.205924999998</v>
      </c>
      <c r="C70" s="136">
        <v>14105.565305</v>
      </c>
      <c r="D70" s="137">
        <f t="shared" si="9"/>
        <v>3.096261696879862E-2</v>
      </c>
      <c r="E70" s="138">
        <f t="shared" si="8"/>
        <v>-0.34929043190329889</v>
      </c>
    </row>
    <row r="71" spans="1:7" ht="12" customHeight="1">
      <c r="A71" s="134" t="s">
        <v>398</v>
      </c>
      <c r="B71" s="135">
        <v>13223.946739999999</v>
      </c>
      <c r="C71" s="136">
        <v>12458.593192</v>
      </c>
      <c r="D71" s="137">
        <f t="shared" si="9"/>
        <v>2.7347407965084614E-2</v>
      </c>
      <c r="E71" s="138">
        <f t="shared" si="8"/>
        <v>-5.7876333219412213E-2</v>
      </c>
    </row>
    <row r="72" spans="1:7" ht="12" customHeight="1">
      <c r="A72" s="134" t="s">
        <v>392</v>
      </c>
      <c r="B72" s="135">
        <v>10872.773956999999</v>
      </c>
      <c r="C72" s="136">
        <v>12196.713023</v>
      </c>
      <c r="D72" s="137">
        <f t="shared" si="9"/>
        <v>2.6772564264095397E-2</v>
      </c>
      <c r="E72" s="138">
        <f t="shared" si="8"/>
        <v>0.12176644812409032</v>
      </c>
    </row>
    <row r="73" spans="1:7" ht="12" customHeight="1">
      <c r="A73" s="134" t="s">
        <v>43</v>
      </c>
      <c r="B73" s="135">
        <v>103265.58572500003</v>
      </c>
      <c r="C73" s="136">
        <v>101365.73781999998</v>
      </c>
      <c r="D73" s="137">
        <f t="shared" si="9"/>
        <v>0.22250427019524002</v>
      </c>
      <c r="E73" s="138">
        <f t="shared" si="8"/>
        <v>-1.8397686815619374E-2</v>
      </c>
    </row>
    <row r="74" spans="1:7" ht="12" customHeight="1" thickBot="1"/>
    <row r="75" spans="1:7" ht="12" customHeight="1" thickBot="1">
      <c r="A75" s="129" t="s">
        <v>365</v>
      </c>
      <c r="B75" s="130">
        <f>SUM(B76:B80)</f>
        <v>8191.0464799999991</v>
      </c>
      <c r="C75" s="131">
        <f>SUM(C76:C80)</f>
        <v>7426.6525589999983</v>
      </c>
      <c r="D75" s="132">
        <v>1</v>
      </c>
      <c r="E75" s="133">
        <f t="shared" ref="E75:E78" si="10">C75/B75-1</f>
        <v>-9.3320667007129599E-2</v>
      </c>
    </row>
    <row r="76" spans="1:7" ht="12" customHeight="1">
      <c r="A76" s="134" t="s">
        <v>33</v>
      </c>
      <c r="B76" s="135">
        <v>2816.3276799999999</v>
      </c>
      <c r="C76" s="145">
        <v>3651.7333819999999</v>
      </c>
      <c r="D76" s="146">
        <f>C76/$C$75</f>
        <v>0.49170650612632233</v>
      </c>
      <c r="E76" s="138">
        <f t="shared" si="10"/>
        <v>0.29662943979586931</v>
      </c>
    </row>
    <row r="77" spans="1:7" ht="12" customHeight="1">
      <c r="A77" s="134" t="s">
        <v>40</v>
      </c>
      <c r="B77" s="135">
        <v>3756.7762730000004</v>
      </c>
      <c r="C77" s="136">
        <v>2886.010061</v>
      </c>
      <c r="D77" s="137">
        <f t="shared" ref="D77:D80" si="11">C77/$C$75</f>
        <v>0.38860173383263835</v>
      </c>
      <c r="E77" s="138">
        <f t="shared" si="10"/>
        <v>-0.23178548540625332</v>
      </c>
    </row>
    <row r="78" spans="1:7" ht="12" customHeight="1">
      <c r="A78" s="134" t="s">
        <v>35</v>
      </c>
      <c r="B78" s="135">
        <v>343.99238000000003</v>
      </c>
      <c r="C78" s="136">
        <v>490.19074999999998</v>
      </c>
      <c r="D78" s="137">
        <f t="shared" si="11"/>
        <v>6.6004265866182424E-2</v>
      </c>
      <c r="E78" s="138">
        <f t="shared" si="10"/>
        <v>0.42500467597567115</v>
      </c>
      <c r="G78" s="180"/>
    </row>
    <row r="79" spans="1:7" ht="12" customHeight="1">
      <c r="A79" s="134" t="s">
        <v>39</v>
      </c>
      <c r="B79" s="135">
        <v>1273.950147</v>
      </c>
      <c r="C79" s="136">
        <v>240.452898</v>
      </c>
      <c r="D79" s="137">
        <f t="shared" si="11"/>
        <v>3.2377022634323571E-2</v>
      </c>
      <c r="E79" s="138" t="s">
        <v>85</v>
      </c>
    </row>
    <row r="80" spans="1:7" ht="12" customHeight="1">
      <c r="A80" s="134" t="s">
        <v>212</v>
      </c>
      <c r="B80" s="135">
        <v>0</v>
      </c>
      <c r="C80" s="136">
        <v>158.265468</v>
      </c>
      <c r="D80" s="137">
        <f t="shared" si="11"/>
        <v>2.1310471540533532E-2</v>
      </c>
      <c r="E80" s="138" t="s">
        <v>159</v>
      </c>
    </row>
    <row r="87" spans="1:5" ht="12" customHeight="1" thickBot="1"/>
    <row r="88" spans="1:5" ht="12" customHeight="1" thickBot="1">
      <c r="A88" s="129" t="s">
        <v>352</v>
      </c>
      <c r="B88" s="130">
        <f>SUM(B89)</f>
        <v>2757114.8287999998</v>
      </c>
      <c r="C88" s="130">
        <f>SUM(C89)</f>
        <v>2960281.8901999998</v>
      </c>
      <c r="D88" s="268">
        <v>1</v>
      </c>
      <c r="E88" s="133">
        <f t="shared" ref="E88:E89" si="12">C88/B88-1</f>
        <v>7.3688284317278807E-2</v>
      </c>
    </row>
    <row r="89" spans="1:5" ht="12" customHeight="1">
      <c r="A89" s="134" t="s">
        <v>354</v>
      </c>
      <c r="B89" s="135">
        <f>'02.1 PRODUCCION'!G31</f>
        <v>2757114.8287999998</v>
      </c>
      <c r="C89" s="145">
        <f>'02.1 PRODUCCION'!G30</f>
        <v>2960281.8901999998</v>
      </c>
      <c r="D89" s="269">
        <v>1</v>
      </c>
      <c r="E89" s="138">
        <f t="shared" si="12"/>
        <v>7.3688284317278807E-2</v>
      </c>
    </row>
    <row r="90" spans="1:5" ht="12" customHeight="1" thickBot="1">
      <c r="D90" s="270"/>
    </row>
    <row r="91" spans="1:5" ht="12" customHeight="1" thickBot="1">
      <c r="A91" s="129" t="s">
        <v>353</v>
      </c>
      <c r="B91" s="130">
        <f>SUM(B92:B103)</f>
        <v>5714.4640220000001</v>
      </c>
      <c r="C91" s="130">
        <f>SUM(C92:C103)</f>
        <v>5549.3572999999997</v>
      </c>
      <c r="D91" s="268">
        <v>1</v>
      </c>
      <c r="E91" s="133">
        <f t="shared" ref="E91:E92" si="13">C91/B91-1</f>
        <v>-2.8892774784189612E-2</v>
      </c>
    </row>
    <row r="92" spans="1:5" ht="12" customHeight="1">
      <c r="A92" s="271" t="s">
        <v>355</v>
      </c>
      <c r="B92" s="135">
        <f>'02.1 PRODUCCION'!H31</f>
        <v>5714.4640220000001</v>
      </c>
      <c r="C92" s="145">
        <f>'02.1 PRODUCCION'!H30</f>
        <v>5549.3572999999997</v>
      </c>
      <c r="D92" s="269">
        <v>1</v>
      </c>
      <c r="E92" s="138">
        <f t="shared" si="13"/>
        <v>-2.8892774784189612E-2</v>
      </c>
    </row>
    <row r="95" spans="1:5" ht="12" customHeight="1">
      <c r="A95" s="147" t="s">
        <v>7</v>
      </c>
      <c r="B95" s="148"/>
      <c r="C95" s="148"/>
      <c r="D95" s="148"/>
      <c r="E95" s="148"/>
    </row>
  </sheetData>
  <mergeCells count="1">
    <mergeCell ref="B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C00000"/>
    <pageSetUpPr fitToPage="1"/>
  </sheetPr>
  <dimension ref="A1:G114"/>
  <sheetViews>
    <sheetView topLeftCell="A58" zoomScale="115" zoomScaleNormal="115" workbookViewId="0">
      <selection activeCell="E107" sqref="A102:E107"/>
    </sheetView>
  </sheetViews>
  <sheetFormatPr baseColWidth="10" defaultColWidth="11.5703125" defaultRowHeight="12" customHeight="1"/>
  <cols>
    <col min="1" max="1" width="35.28515625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7" ht="12" customHeight="1">
      <c r="A1" s="110" t="s">
        <v>226</v>
      </c>
    </row>
    <row r="2" spans="1:7" ht="12" customHeight="1">
      <c r="A2" s="113" t="s">
        <v>56</v>
      </c>
    </row>
    <row r="3" spans="1:7" s="116" customFormat="1" ht="12" customHeight="1">
      <c r="A3" s="114"/>
      <c r="B3" s="115"/>
      <c r="C3" s="115"/>
      <c r="D3" s="115"/>
      <c r="E3" s="115"/>
    </row>
    <row r="4" spans="1:7" ht="12" customHeight="1" thickBot="1"/>
    <row r="5" spans="1:7" ht="12" customHeight="1" thickBot="1">
      <c r="B5" s="543" t="s">
        <v>404</v>
      </c>
      <c r="C5" s="544"/>
      <c r="D5" s="545"/>
    </row>
    <row r="6" spans="1:7" ht="12" customHeight="1">
      <c r="A6" s="117" t="s">
        <v>73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7" ht="12" customHeight="1" thickBot="1">
      <c r="A7" s="120"/>
      <c r="B7" s="121"/>
      <c r="C7" s="121"/>
      <c r="D7" s="122"/>
      <c r="E7" s="122"/>
    </row>
    <row r="8" spans="1:7" ht="12" customHeight="1">
      <c r="A8" s="123"/>
      <c r="B8" s="124"/>
      <c r="C8" s="125"/>
      <c r="D8" s="126"/>
      <c r="E8" s="127"/>
    </row>
    <row r="9" spans="1:7" ht="12" customHeight="1" thickBot="1">
      <c r="A9" s="123"/>
      <c r="B9" s="128"/>
      <c r="C9" s="128"/>
      <c r="D9" s="128"/>
      <c r="E9" s="128"/>
    </row>
    <row r="10" spans="1:7" ht="12" customHeight="1" thickBot="1">
      <c r="A10" s="129" t="s">
        <v>50</v>
      </c>
      <c r="B10" s="130">
        <f>SUM(B11:B26)</f>
        <v>702461.21864700003</v>
      </c>
      <c r="C10" s="131">
        <f>SUM(C11:C26)</f>
        <v>754892.68322799995</v>
      </c>
      <c r="D10" s="132">
        <v>1</v>
      </c>
      <c r="E10" s="133">
        <f t="shared" ref="E10:E26" si="0">C10/B10-1</f>
        <v>7.4639657235437751E-2</v>
      </c>
    </row>
    <row r="11" spans="1:7" ht="12" customHeight="1">
      <c r="A11" s="134" t="s">
        <v>58</v>
      </c>
      <c r="B11" s="135">
        <v>171552.07636400001</v>
      </c>
      <c r="C11" s="136">
        <v>164514.76633099999</v>
      </c>
      <c r="D11" s="137">
        <f t="shared" ref="D11:D26" si="1">C11/$C$10</f>
        <v>0.21793132982494634</v>
      </c>
      <c r="E11" s="138">
        <f>C11/B11-1</f>
        <v>-4.1021421495757493E-2</v>
      </c>
      <c r="G11" s="180"/>
    </row>
    <row r="12" spans="1:7" ht="12" customHeight="1">
      <c r="A12" s="134" t="s">
        <v>218</v>
      </c>
      <c r="B12" s="135">
        <v>53428.675286999998</v>
      </c>
      <c r="C12" s="136">
        <v>148037.49648999999</v>
      </c>
      <c r="D12" s="137">
        <f>C12/$C$10</f>
        <v>0.19610402879648561</v>
      </c>
      <c r="E12" s="138">
        <f t="shared" si="0"/>
        <v>1.7707498959087937</v>
      </c>
    </row>
    <row r="13" spans="1:7" ht="12" customHeight="1">
      <c r="A13" s="134" t="s">
        <v>57</v>
      </c>
      <c r="B13" s="135">
        <v>152174.25866299999</v>
      </c>
      <c r="C13" s="136">
        <v>129123.52232199999</v>
      </c>
      <c r="D13" s="137">
        <f>C13/$C$10</f>
        <v>0.17104884600265871</v>
      </c>
      <c r="E13" s="138">
        <f t="shared" si="0"/>
        <v>-0.15147592334947646</v>
      </c>
    </row>
    <row r="14" spans="1:7" ht="12" customHeight="1">
      <c r="A14" s="134" t="s">
        <v>60</v>
      </c>
      <c r="B14" s="135">
        <v>109344.82399999999</v>
      </c>
      <c r="C14" s="136">
        <v>98895.027788000007</v>
      </c>
      <c r="D14" s="137">
        <f t="shared" si="1"/>
        <v>0.13100541306760921</v>
      </c>
      <c r="E14" s="138">
        <f t="shared" si="0"/>
        <v>-9.5567360481553121E-2</v>
      </c>
    </row>
    <row r="15" spans="1:7" ht="12" customHeight="1">
      <c r="A15" s="134" t="s">
        <v>66</v>
      </c>
      <c r="B15" s="135">
        <v>51893.955879000008</v>
      </c>
      <c r="C15" s="136">
        <v>59152.794018000001</v>
      </c>
      <c r="D15" s="137">
        <f t="shared" si="1"/>
        <v>7.8359209636337288E-2</v>
      </c>
      <c r="E15" s="138">
        <f t="shared" si="0"/>
        <v>0.13987829634582627</v>
      </c>
    </row>
    <row r="16" spans="1:7" ht="12" customHeight="1">
      <c r="A16" s="134" t="s">
        <v>59</v>
      </c>
      <c r="B16" s="135">
        <v>57005.125344</v>
      </c>
      <c r="C16" s="136">
        <v>50260.374572000001</v>
      </c>
      <c r="D16" s="137">
        <f t="shared" si="1"/>
        <v>6.6579496249826384E-2</v>
      </c>
      <c r="E16" s="138">
        <f t="shared" si="0"/>
        <v>-0.11831832192804592</v>
      </c>
    </row>
    <row r="17" spans="1:7" ht="12" customHeight="1">
      <c r="A17" s="134" t="s">
        <v>61</v>
      </c>
      <c r="B17" s="135">
        <v>47200.183376000001</v>
      </c>
      <c r="C17" s="136">
        <v>46160.025116999997</v>
      </c>
      <c r="D17" s="137">
        <f t="shared" si="1"/>
        <v>6.1147797750025754E-2</v>
      </c>
      <c r="E17" s="138">
        <f t="shared" si="0"/>
        <v>-2.2037165633744027E-2</v>
      </c>
    </row>
    <row r="18" spans="1:7" ht="12" customHeight="1">
      <c r="A18" s="134" t="s">
        <v>62</v>
      </c>
      <c r="B18" s="135">
        <v>18762.688644000002</v>
      </c>
      <c r="C18" s="136">
        <v>18068.994507999996</v>
      </c>
      <c r="D18" s="137">
        <f>C18/$C$10</f>
        <v>2.3935845331994859E-2</v>
      </c>
      <c r="E18" s="138">
        <f t="shared" si="0"/>
        <v>-3.6972000610468903E-2</v>
      </c>
    </row>
    <row r="19" spans="1:7" ht="12" customHeight="1">
      <c r="A19" s="134" t="s">
        <v>63</v>
      </c>
      <c r="B19" s="135">
        <v>13994.729485</v>
      </c>
      <c r="C19" s="136">
        <v>13931.242125999999</v>
      </c>
      <c r="D19" s="137">
        <f t="shared" si="1"/>
        <v>1.845459948880224E-2</v>
      </c>
      <c r="E19" s="138">
        <f t="shared" si="0"/>
        <v>-4.5365191994635179E-3</v>
      </c>
    </row>
    <row r="20" spans="1:7" ht="12" customHeight="1">
      <c r="A20" s="134" t="s">
        <v>64</v>
      </c>
      <c r="B20" s="135">
        <v>9889.5615049999997</v>
      </c>
      <c r="C20" s="136">
        <v>9952.116833</v>
      </c>
      <c r="D20" s="137">
        <f t="shared" si="1"/>
        <v>1.3183485618702395E-2</v>
      </c>
      <c r="E20" s="138">
        <f t="shared" si="0"/>
        <v>6.325389449104879E-3</v>
      </c>
    </row>
    <row r="21" spans="1:7" ht="12" customHeight="1">
      <c r="A21" s="134" t="s">
        <v>65</v>
      </c>
      <c r="B21" s="135">
        <v>9365.1565190000001</v>
      </c>
      <c r="C21" s="136">
        <v>9613.8839470000003</v>
      </c>
      <c r="D21" s="137">
        <f t="shared" si="1"/>
        <v>1.2735431354149611E-2</v>
      </c>
      <c r="E21" s="138">
        <f t="shared" si="0"/>
        <v>2.655881164349827E-2</v>
      </c>
    </row>
    <row r="22" spans="1:7" ht="12" customHeight="1">
      <c r="A22" s="134" t="s">
        <v>67</v>
      </c>
      <c r="B22" s="135">
        <v>5691.3199340000001</v>
      </c>
      <c r="C22" s="136">
        <v>4168.9512260000001</v>
      </c>
      <c r="D22" s="137">
        <f t="shared" si="1"/>
        <v>5.5225746899190088E-3</v>
      </c>
      <c r="E22" s="138">
        <f t="shared" si="0"/>
        <v>-0.2674895675615343</v>
      </c>
    </row>
    <row r="23" spans="1:7" ht="12" customHeight="1">
      <c r="A23" s="134" t="s">
        <v>68</v>
      </c>
      <c r="B23" s="135">
        <v>930.28547500000002</v>
      </c>
      <c r="C23" s="136">
        <v>1424.4775</v>
      </c>
      <c r="D23" s="137">
        <f t="shared" si="1"/>
        <v>1.886993385482007E-3</v>
      </c>
      <c r="E23" s="138">
        <f t="shared" si="0"/>
        <v>0.53122620774015616</v>
      </c>
    </row>
    <row r="24" spans="1:7" ht="12" customHeight="1">
      <c r="A24" s="134" t="s">
        <v>69</v>
      </c>
      <c r="B24" s="135">
        <v>544.73934999999994</v>
      </c>
      <c r="C24" s="136">
        <v>790.70960000000002</v>
      </c>
      <c r="D24" s="137">
        <f t="shared" ref="D24" si="2">C24/$C$10</f>
        <v>1.0474463689578275E-3</v>
      </c>
      <c r="E24" s="138">
        <f t="shared" ref="E24" si="3">C24/B24-1</f>
        <v>0.45153751055435976</v>
      </c>
    </row>
    <row r="25" spans="1:7" ht="12" customHeight="1">
      <c r="A25" s="134" t="s">
        <v>70</v>
      </c>
      <c r="B25" s="135">
        <v>468.60788400000001</v>
      </c>
      <c r="C25" s="136">
        <v>570.770353</v>
      </c>
      <c r="D25" s="137">
        <f t="shared" si="1"/>
        <v>7.5609469489004233E-4</v>
      </c>
      <c r="E25" s="138">
        <f t="shared" si="0"/>
        <v>0.21801269779746169</v>
      </c>
    </row>
    <row r="26" spans="1:7" ht="12" customHeight="1" thickBot="1">
      <c r="A26" s="134" t="s">
        <v>71</v>
      </c>
      <c r="B26" s="135">
        <v>215.03093799999999</v>
      </c>
      <c r="C26" s="139">
        <v>227.53049699999997</v>
      </c>
      <c r="D26" s="140">
        <f t="shared" si="1"/>
        <v>3.0140773921275249E-4</v>
      </c>
      <c r="E26" s="138">
        <f t="shared" si="0"/>
        <v>5.8129119075879032E-2</v>
      </c>
    </row>
    <row r="27" spans="1:7" ht="12" customHeight="1" thickBot="1"/>
    <row r="28" spans="1:7" ht="12" customHeight="1" thickBot="1">
      <c r="A28" s="129" t="s">
        <v>304</v>
      </c>
      <c r="B28" s="130">
        <f>SUM(B29:B45)</f>
        <v>51084115.961844191</v>
      </c>
      <c r="C28" s="131">
        <f>SUM(C29:C45)</f>
        <v>47304518.856783286</v>
      </c>
      <c r="D28" s="132">
        <v>1</v>
      </c>
      <c r="E28" s="133">
        <f>C28/B28-1</f>
        <v>-7.3987716805826054E-2</v>
      </c>
    </row>
    <row r="29" spans="1:7" ht="12" customHeight="1">
      <c r="A29" s="134" t="s">
        <v>70</v>
      </c>
      <c r="B29" s="135">
        <v>13932558.282516001</v>
      </c>
      <c r="C29" s="136">
        <v>13342142.816063</v>
      </c>
      <c r="D29" s="137">
        <f>C29/$C$28</f>
        <v>0.28204795521664605</v>
      </c>
      <c r="E29" s="138">
        <f>C29/B29-1</f>
        <v>-4.2376673004405396E-2</v>
      </c>
      <c r="F29" s="275"/>
      <c r="G29" s="275">
        <f>SUM(D29:D31)</f>
        <v>0.63090439884520344</v>
      </c>
    </row>
    <row r="30" spans="1:7" ht="12" customHeight="1">
      <c r="A30" s="134" t="s">
        <v>64</v>
      </c>
      <c r="B30" s="135">
        <v>12334449.06174</v>
      </c>
      <c r="C30" s="136">
        <v>10338764.655015003</v>
      </c>
      <c r="D30" s="137">
        <f>C30/$C$28</f>
        <v>0.21855765379024597</v>
      </c>
      <c r="E30" s="138">
        <f>C30/B30-1</f>
        <v>-0.1617976122594218</v>
      </c>
    </row>
    <row r="31" spans="1:7" ht="12" customHeight="1">
      <c r="A31" s="134" t="s">
        <v>58</v>
      </c>
      <c r="B31" s="135">
        <v>5225815.5434749993</v>
      </c>
      <c r="C31" s="136">
        <v>6163721.5609224476</v>
      </c>
      <c r="D31" s="137">
        <f t="shared" ref="D31:D43" si="4">C31/$C$28</f>
        <v>0.13029878983831147</v>
      </c>
      <c r="E31" s="138">
        <f t="shared" ref="E31:E42" si="5">C31/B31-1</f>
        <v>0.17947553059321542</v>
      </c>
    </row>
    <row r="32" spans="1:7" ht="12" customHeight="1">
      <c r="A32" s="134" t="s">
        <v>46</v>
      </c>
      <c r="B32" s="135">
        <v>7014449.4955620002</v>
      </c>
      <c r="C32" s="136">
        <v>4574576.8461139994</v>
      </c>
      <c r="D32" s="137">
        <f t="shared" si="4"/>
        <v>9.6704859422917955E-2</v>
      </c>
      <c r="E32" s="138">
        <f t="shared" si="5"/>
        <v>-0.34783522940634093</v>
      </c>
    </row>
    <row r="33" spans="1:5" ht="12" customHeight="1">
      <c r="A33" s="134" t="s">
        <v>68</v>
      </c>
      <c r="B33" s="135">
        <v>3321275.5203564004</v>
      </c>
      <c r="C33" s="136">
        <v>3457075.6464601876</v>
      </c>
      <c r="D33" s="137">
        <f t="shared" si="4"/>
        <v>7.308129815095786E-2</v>
      </c>
      <c r="E33" s="138">
        <f t="shared" si="5"/>
        <v>4.0887943584160924E-2</v>
      </c>
    </row>
    <row r="34" spans="1:5" ht="12" customHeight="1">
      <c r="A34" s="134" t="s">
        <v>71</v>
      </c>
      <c r="B34" s="135">
        <v>3957526.0101760007</v>
      </c>
      <c r="C34" s="136">
        <v>3446216.07914</v>
      </c>
      <c r="D34" s="137">
        <f t="shared" si="4"/>
        <v>7.2851730921808661E-2</v>
      </c>
      <c r="E34" s="138">
        <f t="shared" si="5"/>
        <v>-0.12919938611174442</v>
      </c>
    </row>
    <row r="35" spans="1:5" ht="12" customHeight="1">
      <c r="A35" s="134" t="s">
        <v>57</v>
      </c>
      <c r="B35" s="135">
        <v>807330.19244699995</v>
      </c>
      <c r="C35" s="136">
        <v>1473737.1480110001</v>
      </c>
      <c r="D35" s="137">
        <f t="shared" si="4"/>
        <v>3.1154257217430124E-2</v>
      </c>
      <c r="E35" s="138">
        <f t="shared" si="5"/>
        <v>0.82544535284148779</v>
      </c>
    </row>
    <row r="36" spans="1:5" ht="12" customHeight="1">
      <c r="A36" s="134" t="s">
        <v>61</v>
      </c>
      <c r="B36" s="135">
        <v>1354221.5029</v>
      </c>
      <c r="C36" s="136">
        <v>1158195.9599260001</v>
      </c>
      <c r="D36" s="137">
        <f t="shared" si="4"/>
        <v>2.4483833424719829E-2</v>
      </c>
      <c r="E36" s="138">
        <f t="shared" si="5"/>
        <v>-0.14475146241159265</v>
      </c>
    </row>
    <row r="37" spans="1:5" ht="12" customHeight="1">
      <c r="A37" s="134" t="s">
        <v>60</v>
      </c>
      <c r="B37" s="135">
        <v>849594.46600000001</v>
      </c>
      <c r="C37" s="136">
        <v>1133968.8695000003</v>
      </c>
      <c r="D37" s="137">
        <f t="shared" si="4"/>
        <v>2.3971681710433325E-2</v>
      </c>
      <c r="E37" s="138">
        <f t="shared" si="5"/>
        <v>0.33471781524057187</v>
      </c>
    </row>
    <row r="38" spans="1:5" ht="12" customHeight="1">
      <c r="A38" s="134" t="s">
        <v>218</v>
      </c>
      <c r="B38" s="135">
        <v>890895.795805</v>
      </c>
      <c r="C38" s="136">
        <v>916956.80377400003</v>
      </c>
      <c r="D38" s="137">
        <f t="shared" si="4"/>
        <v>1.9384127054544852E-2</v>
      </c>
      <c r="E38" s="138">
        <f t="shared" si="5"/>
        <v>2.9252588340538344E-2</v>
      </c>
    </row>
    <row r="39" spans="1:5" ht="12" customHeight="1">
      <c r="A39" s="134" t="s">
        <v>62</v>
      </c>
      <c r="B39" s="135">
        <v>500534.02254999999</v>
      </c>
      <c r="C39" s="136">
        <v>594311.155333</v>
      </c>
      <c r="D39" s="137">
        <f t="shared" si="4"/>
        <v>1.2563517602457932E-2</v>
      </c>
      <c r="E39" s="138">
        <f t="shared" si="5"/>
        <v>0.18735416287038165</v>
      </c>
    </row>
    <row r="40" spans="1:5" ht="12" customHeight="1">
      <c r="A40" s="134" t="s">
        <v>66</v>
      </c>
      <c r="B40" s="135">
        <v>236009.074012</v>
      </c>
      <c r="C40" s="136">
        <v>268791.66390400002</v>
      </c>
      <c r="D40" s="137">
        <f t="shared" si="4"/>
        <v>5.6821561745037455E-3</v>
      </c>
      <c r="E40" s="138">
        <f t="shared" si="5"/>
        <v>0.13890393845760851</v>
      </c>
    </row>
    <row r="41" spans="1:5" ht="12" customHeight="1">
      <c r="A41" s="134" t="s">
        <v>59</v>
      </c>
      <c r="B41" s="135">
        <v>319568.302493</v>
      </c>
      <c r="C41" s="136">
        <v>199895.24789900001</v>
      </c>
      <c r="D41" s="137">
        <f t="shared" si="4"/>
        <v>4.2257114696418862E-3</v>
      </c>
      <c r="E41" s="138">
        <f t="shared" si="5"/>
        <v>-0.37448349432785621</v>
      </c>
    </row>
    <row r="42" spans="1:5" ht="12" customHeight="1">
      <c r="A42" s="134" t="s">
        <v>65</v>
      </c>
      <c r="B42" s="135">
        <v>166738.98903999999</v>
      </c>
      <c r="C42" s="136">
        <v>150382.707287</v>
      </c>
      <c r="D42" s="137">
        <f t="shared" si="4"/>
        <v>3.1790347079164024E-3</v>
      </c>
      <c r="E42" s="138">
        <f t="shared" si="5"/>
        <v>-9.8095123685055907E-2</v>
      </c>
    </row>
    <row r="43" spans="1:5" ht="12" customHeight="1">
      <c r="A43" s="134" t="s">
        <v>357</v>
      </c>
      <c r="B43" s="135">
        <v>71928.015076800002</v>
      </c>
      <c r="C43" s="136">
        <v>47634.515796650179</v>
      </c>
      <c r="D43" s="137">
        <f t="shared" si="4"/>
        <v>1.0069760130288182E-3</v>
      </c>
      <c r="E43" s="138" t="s">
        <v>159</v>
      </c>
    </row>
    <row r="44" spans="1:5" ht="12" customHeight="1">
      <c r="A44" s="134" t="s">
        <v>63</v>
      </c>
      <c r="B44" s="135">
        <v>86525.436600000001</v>
      </c>
      <c r="C44" s="136">
        <v>36008.562617999996</v>
      </c>
      <c r="D44" s="137">
        <f t="shared" ref="D44:D45" si="6">C44/$C$28</f>
        <v>7.6120767081507912E-4</v>
      </c>
      <c r="E44" s="138">
        <f t="shared" ref="E44:E45" si="7">C44/B44-1</f>
        <v>-0.58383841754576027</v>
      </c>
    </row>
    <row r="45" spans="1:5" ht="12" customHeight="1" thickBot="1">
      <c r="A45" s="134" t="s">
        <v>67</v>
      </c>
      <c r="B45" s="135">
        <v>14696.251095</v>
      </c>
      <c r="C45" s="136">
        <v>2138.6190200000001</v>
      </c>
      <c r="D45" s="140">
        <f t="shared" si="6"/>
        <v>4.5209613620101969E-5</v>
      </c>
      <c r="E45" s="138">
        <f t="shared" si="7"/>
        <v>-0.85447860095915162</v>
      </c>
    </row>
    <row r="46" spans="1:5" ht="12" customHeight="1" thickBot="1">
      <c r="A46" s="141"/>
      <c r="B46" s="142"/>
      <c r="C46" s="143"/>
    </row>
    <row r="47" spans="1:5" ht="12" customHeight="1" thickBot="1">
      <c r="A47" s="129" t="s">
        <v>54</v>
      </c>
      <c r="B47" s="144">
        <f>SUM(B48:B59)</f>
        <v>103614.590065</v>
      </c>
      <c r="C47" s="131">
        <f>SUM(C48:C59)</f>
        <v>98785.417486999999</v>
      </c>
      <c r="D47" s="132">
        <v>1</v>
      </c>
      <c r="E47" s="133">
        <f t="shared" ref="E47:E58" si="8">C47/B47-1</f>
        <v>-4.6607071214300411E-2</v>
      </c>
    </row>
    <row r="48" spans="1:5" ht="12" customHeight="1">
      <c r="A48" s="134" t="s">
        <v>62</v>
      </c>
      <c r="B48" s="135">
        <v>28510.847053000005</v>
      </c>
      <c r="C48" s="136">
        <v>29957.674966999999</v>
      </c>
      <c r="D48" s="137">
        <f t="shared" ref="D48:D59" si="9">C48/$C$47</f>
        <v>0.30326009373744239</v>
      </c>
      <c r="E48" s="138">
        <f t="shared" si="8"/>
        <v>5.074657765552959E-2</v>
      </c>
    </row>
    <row r="49" spans="1:5" ht="12" customHeight="1">
      <c r="A49" s="134" t="s">
        <v>65</v>
      </c>
      <c r="B49" s="135">
        <v>19790.186342000001</v>
      </c>
      <c r="C49" s="136">
        <v>17812.489654000001</v>
      </c>
      <c r="D49" s="137">
        <f t="shared" si="9"/>
        <v>0.18031497064173563</v>
      </c>
      <c r="E49" s="138">
        <f t="shared" si="8"/>
        <v>-9.9933201932657201E-2</v>
      </c>
    </row>
    <row r="50" spans="1:5" ht="12" customHeight="1">
      <c r="A50" s="134" t="s">
        <v>66</v>
      </c>
      <c r="B50" s="135">
        <v>17819.615391000003</v>
      </c>
      <c r="C50" s="136">
        <v>13827.006802</v>
      </c>
      <c r="D50" s="137">
        <f t="shared" si="9"/>
        <v>0.13997012062857975</v>
      </c>
      <c r="E50" s="138">
        <f t="shared" si="8"/>
        <v>-0.22405694519178654</v>
      </c>
    </row>
    <row r="51" spans="1:5" ht="12" customHeight="1">
      <c r="A51" s="134" t="s">
        <v>57</v>
      </c>
      <c r="B51" s="135">
        <v>8426.5556429999997</v>
      </c>
      <c r="C51" s="136">
        <v>12837.503118000001</v>
      </c>
      <c r="D51" s="137">
        <f t="shared" si="9"/>
        <v>0.12995342272749311</v>
      </c>
      <c r="E51" s="138">
        <f t="shared" si="8"/>
        <v>0.52345794199605233</v>
      </c>
    </row>
    <row r="52" spans="1:5" ht="12" customHeight="1">
      <c r="A52" s="134" t="s">
        <v>69</v>
      </c>
      <c r="B52" s="135">
        <v>7657.1910500000004</v>
      </c>
      <c r="C52" s="136">
        <v>7596.8507799999998</v>
      </c>
      <c r="D52" s="137">
        <f t="shared" si="9"/>
        <v>7.6902552757847409E-2</v>
      </c>
      <c r="E52" s="138">
        <f t="shared" si="8"/>
        <v>-7.8802095449872489E-3</v>
      </c>
    </row>
    <row r="53" spans="1:5" ht="12" customHeight="1">
      <c r="A53" s="134" t="s">
        <v>63</v>
      </c>
      <c r="B53" s="135">
        <v>6153.7597949999999</v>
      </c>
      <c r="C53" s="136">
        <v>5514.5435379999999</v>
      </c>
      <c r="D53" s="137">
        <f t="shared" si="9"/>
        <v>5.5823457330893042E-2</v>
      </c>
      <c r="E53" s="138">
        <f t="shared" si="8"/>
        <v>-0.10387409946019843</v>
      </c>
    </row>
    <row r="54" spans="1:5" ht="12" customHeight="1">
      <c r="A54" s="134" t="s">
        <v>58</v>
      </c>
      <c r="B54" s="135">
        <v>6646.1737970000004</v>
      </c>
      <c r="C54" s="136">
        <v>5284.3028880000002</v>
      </c>
      <c r="D54" s="137">
        <f t="shared" si="9"/>
        <v>5.3492742374606106E-2</v>
      </c>
      <c r="E54" s="138">
        <f t="shared" si="8"/>
        <v>-0.20491051702781704</v>
      </c>
    </row>
    <row r="55" spans="1:5" ht="12" customHeight="1">
      <c r="A55" s="134" t="s">
        <v>67</v>
      </c>
      <c r="B55" s="135">
        <v>5083.7419179999997</v>
      </c>
      <c r="C55" s="136">
        <v>3539.0758139999998</v>
      </c>
      <c r="D55" s="137">
        <f t="shared" si="9"/>
        <v>3.5825893173612761E-2</v>
      </c>
      <c r="E55" s="138">
        <f t="shared" si="8"/>
        <v>-0.3038443195809768</v>
      </c>
    </row>
    <row r="56" spans="1:5" ht="12" customHeight="1">
      <c r="A56" s="134" t="s">
        <v>71</v>
      </c>
      <c r="B56" s="135">
        <v>2936.4901850000001</v>
      </c>
      <c r="C56" s="136">
        <v>1737.8519650000001</v>
      </c>
      <c r="D56" s="137">
        <f t="shared" si="9"/>
        <v>1.7592191329542123E-2</v>
      </c>
      <c r="E56" s="138">
        <f t="shared" si="8"/>
        <v>-0.40818737488816093</v>
      </c>
    </row>
    <row r="57" spans="1:5" ht="12" customHeight="1">
      <c r="A57" s="134" t="s">
        <v>68</v>
      </c>
      <c r="B57" s="135">
        <v>211.24885499999999</v>
      </c>
      <c r="C57" s="136">
        <v>391.432931</v>
      </c>
      <c r="D57" s="137">
        <f t="shared" si="9"/>
        <v>3.9624566151326129E-3</v>
      </c>
      <c r="E57" s="138">
        <f t="shared" si="8"/>
        <v>0.85294699467128487</v>
      </c>
    </row>
    <row r="58" spans="1:5" ht="12" customHeight="1">
      <c r="A58" s="134" t="s">
        <v>70</v>
      </c>
      <c r="B58" s="135">
        <v>378.780036</v>
      </c>
      <c r="C58" s="136">
        <v>278.74636800000002</v>
      </c>
      <c r="D58" s="137">
        <f t="shared" si="9"/>
        <v>2.8217359919208984E-3</v>
      </c>
      <c r="E58" s="138">
        <f t="shared" si="8"/>
        <v>-0.26409435158298566</v>
      </c>
    </row>
    <row r="59" spans="1:5" ht="12" customHeight="1" thickBot="1">
      <c r="A59" s="134" t="s">
        <v>60</v>
      </c>
      <c r="B59" s="135">
        <v>0</v>
      </c>
      <c r="C59" s="139">
        <v>7.9386619999999999</v>
      </c>
      <c r="D59" s="140">
        <f t="shared" si="9"/>
        <v>8.0362691194221203E-5</v>
      </c>
      <c r="E59" s="138" t="s">
        <v>85</v>
      </c>
    </row>
    <row r="60" spans="1:5" ht="12" customHeight="1" thickBot="1"/>
    <row r="61" spans="1:5" ht="12" customHeight="1" thickBot="1">
      <c r="A61" s="129" t="s">
        <v>217</v>
      </c>
      <c r="B61" s="130">
        <f>SUM(B62:B77)</f>
        <v>1419218.3600019999</v>
      </c>
      <c r="C61" s="131">
        <f>SUM(C62:C77)</f>
        <v>1377931.4557519997</v>
      </c>
      <c r="D61" s="132">
        <v>1</v>
      </c>
      <c r="E61" s="133">
        <f>C61/B61-1</f>
        <v>-2.9091298008533384E-2</v>
      </c>
    </row>
    <row r="62" spans="1:5" ht="12" customHeight="1">
      <c r="A62" s="134" t="s">
        <v>65</v>
      </c>
      <c r="B62" s="135">
        <v>266419.60243700002</v>
      </c>
      <c r="C62" s="136">
        <v>296152.36502700002</v>
      </c>
      <c r="D62" s="137">
        <f t="shared" ref="D62:D77" si="10">C62/$C$61</f>
        <v>0.21492532432636588</v>
      </c>
      <c r="E62" s="138">
        <f t="shared" ref="E62:E77" si="11">C62/B62-1</f>
        <v>0.11160125725745296</v>
      </c>
    </row>
    <row r="63" spans="1:5" ht="12" customHeight="1">
      <c r="A63" s="134" t="s">
        <v>57</v>
      </c>
      <c r="B63" s="135">
        <v>265494.15939600003</v>
      </c>
      <c r="C63" s="136">
        <v>246482.18956399997</v>
      </c>
      <c r="D63" s="137">
        <f t="shared" si="10"/>
        <v>0.17887841121203191</v>
      </c>
      <c r="E63" s="138">
        <f t="shared" si="11"/>
        <v>-7.1609747932882439E-2</v>
      </c>
    </row>
    <row r="64" spans="1:5" ht="12" customHeight="1">
      <c r="A64" s="134" t="s">
        <v>66</v>
      </c>
      <c r="B64" s="135">
        <v>270210.014639</v>
      </c>
      <c r="C64" s="136">
        <v>243129.29019000003</v>
      </c>
      <c r="D64" s="137">
        <f t="shared" si="10"/>
        <v>0.17644512662446865</v>
      </c>
      <c r="E64" s="138">
        <f t="shared" si="11"/>
        <v>-0.10022102432132196</v>
      </c>
    </row>
    <row r="65" spans="1:5" ht="12" customHeight="1">
      <c r="A65" s="134" t="s">
        <v>62</v>
      </c>
      <c r="B65" s="135">
        <v>206561.76463899997</v>
      </c>
      <c r="C65" s="136">
        <v>200665.901721</v>
      </c>
      <c r="D65" s="137">
        <f t="shared" si="10"/>
        <v>0.14562836263251391</v>
      </c>
      <c r="E65" s="138">
        <f t="shared" si="11"/>
        <v>-2.8542857039897673E-2</v>
      </c>
    </row>
    <row r="66" spans="1:5" ht="12" customHeight="1">
      <c r="A66" s="134" t="s">
        <v>71</v>
      </c>
      <c r="B66" s="135">
        <v>94890.640159999995</v>
      </c>
      <c r="C66" s="136">
        <v>121788.533178</v>
      </c>
      <c r="D66" s="137">
        <f>C66/$C$61</f>
        <v>8.8385044604076091E-2</v>
      </c>
      <c r="E66" s="138">
        <f>C66/B66-1</f>
        <v>0.28346202504953144</v>
      </c>
    </row>
    <row r="67" spans="1:5" ht="12" customHeight="1">
      <c r="A67" s="134" t="s">
        <v>58</v>
      </c>
      <c r="B67" s="135">
        <v>91532.028085999991</v>
      </c>
      <c r="C67" s="136">
        <v>69574.749322000018</v>
      </c>
      <c r="D67" s="137">
        <f t="shared" si="10"/>
        <v>5.0492170007128488E-2</v>
      </c>
      <c r="E67" s="138">
        <f t="shared" si="11"/>
        <v>-0.23988629142325735</v>
      </c>
    </row>
    <row r="68" spans="1:5" ht="12" customHeight="1">
      <c r="A68" s="134" t="s">
        <v>67</v>
      </c>
      <c r="B68" s="135">
        <v>57958.285389000004</v>
      </c>
      <c r="C68" s="136">
        <v>42746.742528000002</v>
      </c>
      <c r="D68" s="137">
        <f t="shared" si="10"/>
        <v>3.1022401259191201E-2</v>
      </c>
      <c r="E68" s="138">
        <f t="shared" si="11"/>
        <v>-0.26245674382712203</v>
      </c>
    </row>
    <row r="69" spans="1:5" ht="12" customHeight="1">
      <c r="A69" s="134" t="s">
        <v>63</v>
      </c>
      <c r="B69" s="135">
        <v>42065.813514000001</v>
      </c>
      <c r="C69" s="136">
        <v>39625.258147000008</v>
      </c>
      <c r="D69" s="137">
        <f t="shared" si="10"/>
        <v>2.8757060434021882E-2</v>
      </c>
      <c r="E69" s="138">
        <f t="shared" si="11"/>
        <v>-5.8017548292219501E-2</v>
      </c>
    </row>
    <row r="70" spans="1:5" ht="12" customHeight="1">
      <c r="A70" s="134" t="s">
        <v>59</v>
      </c>
      <c r="B70" s="135">
        <v>29167.353235999999</v>
      </c>
      <c r="C70" s="136">
        <v>28380.873721</v>
      </c>
      <c r="D70" s="137">
        <f t="shared" si="10"/>
        <v>2.0596723880950428E-2</v>
      </c>
      <c r="E70" s="138">
        <f t="shared" si="11"/>
        <v>-2.6964377214360402E-2</v>
      </c>
    </row>
    <row r="71" spans="1:5" ht="12" customHeight="1">
      <c r="A71" s="134" t="s">
        <v>69</v>
      </c>
      <c r="B71" s="135">
        <v>25687.390910999999</v>
      </c>
      <c r="C71" s="136">
        <v>25880.328912000001</v>
      </c>
      <c r="D71" s="137">
        <f t="shared" si="10"/>
        <v>1.8782014739532837E-2</v>
      </c>
      <c r="E71" s="138">
        <f t="shared" si="11"/>
        <v>7.5110003062779374E-3</v>
      </c>
    </row>
    <row r="72" spans="1:5" ht="12" customHeight="1">
      <c r="A72" s="134" t="s">
        <v>70</v>
      </c>
      <c r="B72" s="135">
        <v>20209.014772000002</v>
      </c>
      <c r="C72" s="136">
        <v>18711.899963999997</v>
      </c>
      <c r="D72" s="137">
        <f t="shared" si="10"/>
        <v>1.3579703029413798E-2</v>
      </c>
      <c r="E72" s="138">
        <f t="shared" si="11"/>
        <v>-7.4081533656667364E-2</v>
      </c>
    </row>
    <row r="73" spans="1:5" ht="12" customHeight="1">
      <c r="A73" s="134" t="s">
        <v>61</v>
      </c>
      <c r="B73" s="135">
        <v>18266.435852999999</v>
      </c>
      <c r="C73" s="136">
        <v>18082.836357</v>
      </c>
      <c r="D73" s="137">
        <f t="shared" si="10"/>
        <v>1.3123175526268377E-2</v>
      </c>
      <c r="E73" s="138">
        <f t="shared" si="11"/>
        <v>-1.0051194303996924E-2</v>
      </c>
    </row>
    <row r="74" spans="1:5" ht="12" customHeight="1">
      <c r="A74" s="134" t="s">
        <v>60</v>
      </c>
      <c r="B74" s="111">
        <v>13969.998217</v>
      </c>
      <c r="C74" s="136">
        <v>13142.002804</v>
      </c>
      <c r="D74" s="137">
        <f t="shared" si="10"/>
        <v>9.5374866065655005E-3</v>
      </c>
      <c r="E74" s="138">
        <f t="shared" si="11"/>
        <v>-5.926954321242639E-2</v>
      </c>
    </row>
    <row r="75" spans="1:5" ht="12" customHeight="1">
      <c r="A75" s="134" t="s">
        <v>64</v>
      </c>
      <c r="B75" s="111">
        <v>16091.070361</v>
      </c>
      <c r="C75" s="136">
        <v>12591.169659000001</v>
      </c>
      <c r="D75" s="137">
        <f t="shared" si="10"/>
        <v>9.1377329448716505E-3</v>
      </c>
      <c r="E75" s="138">
        <f t="shared" si="11"/>
        <v>-0.21750577329415721</v>
      </c>
    </row>
    <row r="76" spans="1:5" ht="12" customHeight="1">
      <c r="A76" s="134" t="s">
        <v>68</v>
      </c>
      <c r="B76" s="111">
        <v>523.580512</v>
      </c>
      <c r="C76" s="136">
        <v>598.34515299999998</v>
      </c>
      <c r="D76" s="137">
        <f t="shared" si="10"/>
        <v>4.342343376387005E-4</v>
      </c>
      <c r="E76" s="138">
        <f t="shared" si="11"/>
        <v>0.1427949270197435</v>
      </c>
    </row>
    <row r="77" spans="1:5" ht="12" customHeight="1" thickBot="1">
      <c r="A77" s="112" t="s">
        <v>218</v>
      </c>
      <c r="B77" s="111">
        <v>171.20787999999999</v>
      </c>
      <c r="C77" s="139">
        <v>378.96950500000003</v>
      </c>
      <c r="D77" s="140">
        <f t="shared" si="10"/>
        <v>2.7502783496090462E-4</v>
      </c>
      <c r="E77" s="138">
        <f t="shared" si="11"/>
        <v>1.2135050384363151</v>
      </c>
    </row>
    <row r="78" spans="1:5" ht="12" customHeight="1" thickBot="1"/>
    <row r="79" spans="1:5" ht="12" customHeight="1" thickBot="1">
      <c r="A79" s="129" t="s">
        <v>55</v>
      </c>
      <c r="B79" s="130">
        <f>SUM(B80:B91)</f>
        <v>416111.83975500008</v>
      </c>
      <c r="C79" s="131">
        <f>SUM(C80:C91)</f>
        <v>455567.60655000003</v>
      </c>
      <c r="D79" s="132">
        <v>1</v>
      </c>
      <c r="E79" s="133">
        <f t="shared" ref="E79" si="12">C79/B79-1</f>
        <v>9.4820101293514814E-2</v>
      </c>
    </row>
    <row r="80" spans="1:5" ht="12" customHeight="1">
      <c r="A80" s="134" t="s">
        <v>57</v>
      </c>
      <c r="B80" s="135">
        <v>78880.998241000023</v>
      </c>
      <c r="C80" s="145">
        <v>140136.51035600004</v>
      </c>
      <c r="D80" s="146">
        <f t="shared" ref="D80:D91" si="13">C80/$C$79</f>
        <v>0.30760859275585828</v>
      </c>
      <c r="E80" s="138">
        <f t="shared" ref="E80:E89" si="14">C80/B80-1</f>
        <v>0.77655599549906817</v>
      </c>
    </row>
    <row r="81" spans="1:5" ht="12" customHeight="1">
      <c r="A81" s="134" t="s">
        <v>66</v>
      </c>
      <c r="B81" s="135">
        <v>106639.653019</v>
      </c>
      <c r="C81" s="136">
        <v>89325.422133999993</v>
      </c>
      <c r="D81" s="137">
        <f t="shared" si="13"/>
        <v>0.19607500807719574</v>
      </c>
      <c r="E81" s="138">
        <f t="shared" si="14"/>
        <v>-0.16236203321024623</v>
      </c>
    </row>
    <row r="82" spans="1:5" ht="12" customHeight="1">
      <c r="A82" s="134" t="s">
        <v>62</v>
      </c>
      <c r="B82" s="135">
        <v>82997.434484999991</v>
      </c>
      <c r="C82" s="136">
        <v>82206.958876000019</v>
      </c>
      <c r="D82" s="137">
        <f t="shared" si="13"/>
        <v>0.18044952646776377</v>
      </c>
      <c r="E82" s="138">
        <f t="shared" si="14"/>
        <v>-9.5240969061860525E-3</v>
      </c>
    </row>
    <row r="83" spans="1:5" ht="12" customHeight="1">
      <c r="A83" s="134" t="s">
        <v>63</v>
      </c>
      <c r="B83" s="135">
        <v>61626.320135000002</v>
      </c>
      <c r="C83" s="136">
        <v>55296.242093999994</v>
      </c>
      <c r="D83" s="137">
        <f t="shared" si="13"/>
        <v>0.12137878395866816</v>
      </c>
      <c r="E83" s="138">
        <f t="shared" si="14"/>
        <v>-0.10271711871053146</v>
      </c>
    </row>
    <row r="84" spans="1:5" ht="12" customHeight="1">
      <c r="A84" s="134" t="s">
        <v>65</v>
      </c>
      <c r="B84" s="135">
        <v>43423.767099999997</v>
      </c>
      <c r="C84" s="136">
        <v>43111.352197</v>
      </c>
      <c r="D84" s="137">
        <f t="shared" si="13"/>
        <v>9.4632172211455048E-2</v>
      </c>
      <c r="E84" s="138">
        <f t="shared" si="14"/>
        <v>-7.1945601191287789E-3</v>
      </c>
    </row>
    <row r="85" spans="1:5" ht="12" customHeight="1">
      <c r="A85" s="134" t="s">
        <v>69</v>
      </c>
      <c r="B85" s="135">
        <v>12303.780580000001</v>
      </c>
      <c r="C85" s="136">
        <v>17747.47812</v>
      </c>
      <c r="D85" s="137">
        <f t="shared" si="13"/>
        <v>3.8956848258815249E-2</v>
      </c>
      <c r="E85" s="138">
        <f t="shared" si="14"/>
        <v>0.44244104522221561</v>
      </c>
    </row>
    <row r="86" spans="1:5" ht="12" customHeight="1">
      <c r="A86" s="134" t="s">
        <v>71</v>
      </c>
      <c r="B86" s="135">
        <v>16922.826964</v>
      </c>
      <c r="C86" s="136">
        <v>15305.621059999999</v>
      </c>
      <c r="D86" s="137">
        <f t="shared" si="13"/>
        <v>3.3596816015758924E-2</v>
      </c>
      <c r="E86" s="138">
        <f t="shared" si="14"/>
        <v>-9.5563578558138573E-2</v>
      </c>
    </row>
    <row r="87" spans="1:5" ht="12" customHeight="1">
      <c r="A87" s="134" t="s">
        <v>58</v>
      </c>
      <c r="B87" s="135">
        <v>8551.2475549999999</v>
      </c>
      <c r="C87" s="136">
        <v>8310.7081729999991</v>
      </c>
      <c r="D87" s="137">
        <f t="shared" si="13"/>
        <v>1.8242535363602222E-2</v>
      </c>
      <c r="E87" s="138">
        <f t="shared" si="14"/>
        <v>-2.8129156646781284E-2</v>
      </c>
    </row>
    <row r="88" spans="1:5" ht="12" customHeight="1">
      <c r="A88" s="134" t="s">
        <v>67</v>
      </c>
      <c r="B88" s="135">
        <v>3777.135186</v>
      </c>
      <c r="C88" s="136">
        <v>3224.881034</v>
      </c>
      <c r="D88" s="137">
        <f t="shared" si="13"/>
        <v>7.0788198889335623E-3</v>
      </c>
      <c r="E88" s="138">
        <f t="shared" si="14"/>
        <v>-0.14620979255572775</v>
      </c>
    </row>
    <row r="89" spans="1:5" ht="12" customHeight="1">
      <c r="A89" s="134" t="s">
        <v>70</v>
      </c>
      <c r="B89" s="135">
        <v>765.21286699999996</v>
      </c>
      <c r="C89" s="136">
        <v>668.60208999999998</v>
      </c>
      <c r="D89" s="137">
        <f t="shared" si="13"/>
        <v>1.4676243007339872E-3</v>
      </c>
      <c r="E89" s="138">
        <f t="shared" si="14"/>
        <v>-0.12625346640962842</v>
      </c>
    </row>
    <row r="90" spans="1:5" ht="12" customHeight="1">
      <c r="A90" s="134" t="s">
        <v>68</v>
      </c>
      <c r="B90" s="135">
        <v>223.46362300000001</v>
      </c>
      <c r="C90" s="136">
        <v>226.88978900000001</v>
      </c>
      <c r="D90" s="137">
        <f t="shared" si="13"/>
        <v>4.9803758155288886E-4</v>
      </c>
      <c r="E90" s="138" t="s">
        <v>159</v>
      </c>
    </row>
    <row r="91" spans="1:5" ht="12" customHeight="1" thickBot="1">
      <c r="A91" s="134" t="s">
        <v>60</v>
      </c>
      <c r="B91" s="135">
        <v>0</v>
      </c>
      <c r="C91" s="139">
        <v>6.9406270000000001</v>
      </c>
      <c r="D91" s="140">
        <f t="shared" si="13"/>
        <v>1.5235119662175199E-5</v>
      </c>
      <c r="E91" s="138" t="s">
        <v>85</v>
      </c>
    </row>
    <row r="93" spans="1:5" ht="12" customHeight="1" thickBot="1"/>
    <row r="94" spans="1:5" ht="12" customHeight="1" thickBot="1">
      <c r="A94" s="129" t="s">
        <v>352</v>
      </c>
      <c r="B94" s="130">
        <f>'02.2 PRODUCCION EMPRESAS'!B88</f>
        <v>2757114.8287999998</v>
      </c>
      <c r="C94" s="130">
        <f>SUM(C95)</f>
        <v>2960281.8901999998</v>
      </c>
      <c r="D94" s="268">
        <v>1</v>
      </c>
      <c r="E94" s="133">
        <f t="shared" ref="E94:E95" si="15">C94/B94-1</f>
        <v>7.3688284317278807E-2</v>
      </c>
    </row>
    <row r="95" spans="1:5" ht="12" customHeight="1">
      <c r="A95" s="134" t="s">
        <v>63</v>
      </c>
      <c r="B95" s="135">
        <f>'02.1 PRODUCCION'!G31</f>
        <v>2757114.8287999998</v>
      </c>
      <c r="C95" s="145">
        <f>'02.1 PRODUCCION'!G30</f>
        <v>2960281.8901999998</v>
      </c>
      <c r="D95" s="269">
        <v>1</v>
      </c>
      <c r="E95" s="138">
        <f t="shared" si="15"/>
        <v>7.3688284317278807E-2</v>
      </c>
    </row>
    <row r="96" spans="1:5" ht="12" customHeight="1" thickBot="1">
      <c r="D96" s="270"/>
    </row>
    <row r="97" spans="1:5" ht="12" customHeight="1" thickBot="1">
      <c r="A97" s="129" t="s">
        <v>353</v>
      </c>
      <c r="B97" s="130">
        <f>'02.2 PRODUCCION EMPRESAS'!B91</f>
        <v>5714.4640220000001</v>
      </c>
      <c r="C97" s="131">
        <f>SUM(C98:C99)</f>
        <v>5549.3572999999997</v>
      </c>
      <c r="D97" s="268">
        <v>1</v>
      </c>
      <c r="E97" s="133">
        <f t="shared" ref="E97:E98" si="16">C97/B97-1</f>
        <v>-2.8892774784189612E-2</v>
      </c>
    </row>
    <row r="98" spans="1:5" ht="12" customHeight="1">
      <c r="A98" s="134" t="s">
        <v>68</v>
      </c>
      <c r="B98" s="135">
        <f>'02.1 PRODUCCION'!H31</f>
        <v>5714.4640220000001</v>
      </c>
      <c r="C98" s="145">
        <f>'02.1 PRODUCCION'!H30</f>
        <v>5549.3572999999997</v>
      </c>
      <c r="D98" s="269">
        <v>1</v>
      </c>
      <c r="E98" s="138">
        <f t="shared" si="16"/>
        <v>-2.8892774784189612E-2</v>
      </c>
    </row>
    <row r="100" spans="1:5" ht="12" customHeight="1" thickBot="1"/>
    <row r="101" spans="1:5" ht="12" customHeight="1" thickBot="1">
      <c r="A101" s="129" t="s">
        <v>365</v>
      </c>
      <c r="B101" s="130">
        <f>SUM(B102:B107)</f>
        <v>8191.0464800000009</v>
      </c>
      <c r="C101" s="131">
        <f>SUM(C102:C107)</f>
        <v>7426.6525589999983</v>
      </c>
      <c r="D101" s="132">
        <v>1</v>
      </c>
      <c r="E101" s="133">
        <f t="shared" ref="E101:E105" si="17">C101/B101-1</f>
        <v>-9.3320667007129821E-2</v>
      </c>
    </row>
    <row r="102" spans="1:5" ht="12" customHeight="1">
      <c r="A102" s="134" t="s">
        <v>58</v>
      </c>
      <c r="B102" s="135">
        <v>2816.3276799999999</v>
      </c>
      <c r="C102" s="145">
        <v>3651.7333819999999</v>
      </c>
      <c r="D102" s="146">
        <f>C102/$C$101</f>
        <v>0.49170650612632233</v>
      </c>
      <c r="E102" s="138">
        <f t="shared" si="17"/>
        <v>0.29662943979586931</v>
      </c>
    </row>
    <row r="103" spans="1:5" ht="12" customHeight="1">
      <c r="A103" s="134" t="s">
        <v>61</v>
      </c>
      <c r="B103" s="135">
        <v>2439.0629410000001</v>
      </c>
      <c r="C103" s="136">
        <v>1672.550763</v>
      </c>
      <c r="D103" s="137">
        <f t="shared" ref="D103:D107" si="18">C103/$C$101</f>
        <v>0.22520923790532213</v>
      </c>
      <c r="E103" s="138">
        <f t="shared" si="17"/>
        <v>-0.31426502576671311</v>
      </c>
    </row>
    <row r="104" spans="1:5" ht="12" customHeight="1">
      <c r="A104" s="134" t="s">
        <v>59</v>
      </c>
      <c r="B104" s="135">
        <v>1317.713332</v>
      </c>
      <c r="C104" s="136">
        <v>1213.459298</v>
      </c>
      <c r="D104" s="137">
        <f t="shared" si="18"/>
        <v>0.16339249592731625</v>
      </c>
      <c r="E104" s="138">
        <f t="shared" si="17"/>
        <v>-7.9117385753216363E-2</v>
      </c>
    </row>
    <row r="105" spans="1:5" ht="12" customHeight="1">
      <c r="A105" s="134" t="s">
        <v>66</v>
      </c>
      <c r="B105" s="135">
        <v>343.99238000000003</v>
      </c>
      <c r="C105" s="136">
        <v>490.19074999999998</v>
      </c>
      <c r="D105" s="137">
        <f t="shared" si="18"/>
        <v>6.6004265866182424E-2</v>
      </c>
      <c r="E105" s="138">
        <f t="shared" si="17"/>
        <v>0.42500467597567115</v>
      </c>
    </row>
    <row r="106" spans="1:5" ht="12" customHeight="1">
      <c r="A106" s="134" t="s">
        <v>57</v>
      </c>
      <c r="B106" s="135">
        <v>1273.950147</v>
      </c>
      <c r="C106" s="136">
        <v>240.452898</v>
      </c>
      <c r="D106" s="137">
        <f t="shared" si="18"/>
        <v>3.2377022634323571E-2</v>
      </c>
      <c r="E106" s="138" t="s">
        <v>159</v>
      </c>
    </row>
    <row r="107" spans="1:5" ht="12" customHeight="1">
      <c r="A107" s="134" t="s">
        <v>60</v>
      </c>
      <c r="B107" s="135">
        <v>0</v>
      </c>
      <c r="C107" s="136">
        <v>158.265468</v>
      </c>
      <c r="D107" s="137">
        <f t="shared" si="18"/>
        <v>2.1310471540533532E-2</v>
      </c>
      <c r="E107" s="138" t="s">
        <v>85</v>
      </c>
    </row>
    <row r="108" spans="1:5" ht="12" customHeight="1">
      <c r="D108" s="128"/>
    </row>
    <row r="114" spans="1:5" ht="12" customHeight="1">
      <c r="A114" s="147" t="s">
        <v>7</v>
      </c>
      <c r="B114" s="148"/>
      <c r="C114" s="148"/>
      <c r="D114" s="148"/>
      <c r="E114" s="148"/>
    </row>
  </sheetData>
  <sortState ref="A78:C89">
    <sortCondition descending="1" ref="C78:C89"/>
  </sortState>
  <mergeCells count="1"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C00000"/>
    <pageSetUpPr fitToPage="1"/>
  </sheetPr>
  <dimension ref="A1:AC96"/>
  <sheetViews>
    <sheetView zoomScale="130" zoomScaleNormal="130" workbookViewId="0">
      <pane xSplit="3" ySplit="5" topLeftCell="N6" activePane="bottomRight" state="frozen"/>
      <selection activeCell="B24" sqref="B24"/>
      <selection pane="topRight" activeCell="B24" sqref="B24"/>
      <selection pane="bottomLeft" activeCell="B24" sqref="B24"/>
      <selection pane="bottomRight" activeCell="AD45" sqref="AD45"/>
    </sheetView>
  </sheetViews>
  <sheetFormatPr baseColWidth="10" defaultColWidth="11.5703125" defaultRowHeight="12"/>
  <cols>
    <col min="1" max="1" width="11" style="12" customWidth="1"/>
    <col min="2" max="2" width="7" style="12" customWidth="1"/>
    <col min="3" max="4" width="11.5703125" style="12" customWidth="1"/>
    <col min="5" max="13" width="7.5703125" style="12" customWidth="1"/>
    <col min="14" max="22" width="7" style="10" customWidth="1"/>
    <col min="23" max="23" width="9.28515625" style="10" customWidth="1"/>
    <col min="24" max="24" width="7" style="10" customWidth="1"/>
    <col min="25" max="25" width="8.140625" style="10" customWidth="1"/>
    <col min="26" max="27" width="8.28515625" style="10" customWidth="1"/>
    <col min="28" max="28" width="8.28515625" style="175" customWidth="1"/>
    <col min="29" max="16384" width="11.5703125" style="10"/>
  </cols>
  <sheetData>
    <row r="1" spans="1:28" ht="15">
      <c r="A1" s="1" t="s">
        <v>229</v>
      </c>
    </row>
    <row r="2" spans="1:28" ht="15">
      <c r="A2" s="15" t="s">
        <v>151</v>
      </c>
    </row>
    <row r="3" spans="1:28" s="70" customFormat="1" ht="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AB3" s="176"/>
    </row>
    <row r="4" spans="1:28" ht="15" customHeight="1">
      <c r="F4" s="546" t="s">
        <v>213</v>
      </c>
      <c r="G4" s="546"/>
      <c r="H4" s="546"/>
      <c r="I4" s="546"/>
      <c r="J4" s="546"/>
      <c r="K4" s="546"/>
      <c r="L4" s="546"/>
      <c r="M4" s="319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546" t="s">
        <v>405</v>
      </c>
      <c r="AA4" s="546"/>
    </row>
    <row r="5" spans="1:28" ht="12.75" thickBot="1">
      <c r="A5" s="196" t="s">
        <v>227</v>
      </c>
      <c r="B5" s="197"/>
      <c r="C5" s="198" t="s">
        <v>228</v>
      </c>
      <c r="D5" s="198">
        <v>2007</v>
      </c>
      <c r="E5" s="198">
        <v>2008</v>
      </c>
      <c r="F5" s="198">
        <v>2009</v>
      </c>
      <c r="G5" s="198">
        <v>2010</v>
      </c>
      <c r="H5" s="198">
        <v>2011</v>
      </c>
      <c r="I5" s="198">
        <v>2012</v>
      </c>
      <c r="J5" s="198">
        <v>2013</v>
      </c>
      <c r="K5" s="198">
        <v>2014</v>
      </c>
      <c r="L5" s="198">
        <v>2015</v>
      </c>
      <c r="M5" s="198">
        <v>2016</v>
      </c>
      <c r="N5" s="198" t="s">
        <v>216</v>
      </c>
      <c r="O5" s="198" t="s">
        <v>219</v>
      </c>
      <c r="P5" s="198" t="s">
        <v>230</v>
      </c>
      <c r="Q5" s="198" t="s">
        <v>251</v>
      </c>
      <c r="R5" s="198" t="s">
        <v>252</v>
      </c>
      <c r="S5" s="198" t="s">
        <v>278</v>
      </c>
      <c r="T5" s="198" t="s">
        <v>279</v>
      </c>
      <c r="U5" s="198" t="s">
        <v>284</v>
      </c>
      <c r="V5" s="198" t="s">
        <v>285</v>
      </c>
      <c r="W5" s="198" t="s">
        <v>287</v>
      </c>
      <c r="X5" s="198" t="s">
        <v>292</v>
      </c>
      <c r="Y5" s="198" t="s">
        <v>293</v>
      </c>
      <c r="Z5" s="198">
        <v>2016</v>
      </c>
      <c r="AA5" s="198">
        <v>2017</v>
      </c>
      <c r="AB5" s="199" t="s">
        <v>220</v>
      </c>
    </row>
    <row r="6" spans="1:28" ht="12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1"/>
      <c r="Z6" s="11"/>
    </row>
    <row r="7" spans="1:28">
      <c r="A7" s="13"/>
      <c r="B7" s="13"/>
      <c r="C7" s="13"/>
      <c r="D7" s="93"/>
      <c r="E7" s="26"/>
      <c r="F7" s="26"/>
      <c r="G7" s="26"/>
      <c r="H7" s="26"/>
      <c r="I7" s="26"/>
      <c r="J7" s="26"/>
      <c r="K7" s="26"/>
      <c r="L7" s="26"/>
      <c r="M7" s="26"/>
      <c r="N7" s="194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95"/>
      <c r="Z7" s="32"/>
      <c r="AA7" s="104"/>
      <c r="AB7" s="235"/>
    </row>
    <row r="8" spans="1:28">
      <c r="A8" s="12" t="s">
        <v>9</v>
      </c>
      <c r="B8" s="12" t="s">
        <v>10</v>
      </c>
      <c r="C8" s="12" t="s">
        <v>11</v>
      </c>
      <c r="D8" s="94">
        <v>7219.0687201917526</v>
      </c>
      <c r="E8" s="25">
        <v>7276.9520400628562</v>
      </c>
      <c r="F8" s="25">
        <v>5935.4024202705696</v>
      </c>
      <c r="G8" s="25">
        <v>8879.1470329311687</v>
      </c>
      <c r="H8" s="25">
        <v>10721.031282565797</v>
      </c>
      <c r="I8" s="25">
        <v>10730.942210401816</v>
      </c>
      <c r="J8" s="25">
        <v>9820.7478280872583</v>
      </c>
      <c r="K8" s="25">
        <v>8874.9060769625194</v>
      </c>
      <c r="L8" s="25">
        <v>8174.9932293081592</v>
      </c>
      <c r="M8" s="25">
        <v>10168.367285688868</v>
      </c>
      <c r="N8" s="212">
        <v>877.27793135868546</v>
      </c>
      <c r="O8" s="214">
        <v>1151.1521562219493</v>
      </c>
      <c r="P8" s="214">
        <v>1016.7200086281882</v>
      </c>
      <c r="Q8" s="214"/>
      <c r="R8" s="214"/>
      <c r="S8" s="214"/>
      <c r="T8" s="214"/>
      <c r="U8" s="214"/>
      <c r="V8" s="214"/>
      <c r="W8" s="214"/>
      <c r="X8" s="214"/>
      <c r="Y8" s="213"/>
      <c r="Z8" s="228">
        <v>1925.9062703725529</v>
      </c>
      <c r="AA8" s="215">
        <v>3045.150096208823</v>
      </c>
      <c r="AB8" s="236">
        <f>AA8/Z8-1</f>
        <v>0.58115176374588584</v>
      </c>
    </row>
    <row r="9" spans="1:28">
      <c r="A9" s="49"/>
      <c r="B9" s="12" t="s">
        <v>12</v>
      </c>
      <c r="C9" s="12" t="s">
        <v>13</v>
      </c>
      <c r="D9" s="94">
        <v>1121.9424399999998</v>
      </c>
      <c r="E9" s="25">
        <v>1243.0921780000001</v>
      </c>
      <c r="F9" s="25">
        <v>1246.1711079999998</v>
      </c>
      <c r="G9" s="25">
        <v>1256.1313640000003</v>
      </c>
      <c r="H9" s="25">
        <v>1262.237985</v>
      </c>
      <c r="I9" s="25">
        <v>1405.5533140000002</v>
      </c>
      <c r="J9" s="25">
        <v>1403.9670750000002</v>
      </c>
      <c r="K9" s="25">
        <v>1402.417778</v>
      </c>
      <c r="L9" s="25">
        <v>1751.5973160000001</v>
      </c>
      <c r="M9" s="25">
        <v>2492.4748870000003</v>
      </c>
      <c r="N9" s="212">
        <v>187.35705999999999</v>
      </c>
      <c r="O9" s="214">
        <v>220.39220299999999</v>
      </c>
      <c r="P9" s="214">
        <v>192.46098599999999</v>
      </c>
      <c r="Q9" s="214"/>
      <c r="R9" s="214"/>
      <c r="S9" s="214"/>
      <c r="T9" s="214"/>
      <c r="U9" s="214"/>
      <c r="V9" s="214"/>
      <c r="W9" s="214"/>
      <c r="X9" s="214"/>
      <c r="Y9" s="213"/>
      <c r="Z9" s="228">
        <v>495.72486200000003</v>
      </c>
      <c r="AA9" s="215">
        <v>600.21024899999998</v>
      </c>
      <c r="AB9" s="236">
        <f t="shared" ref="AB9:AB42" si="0">AA9/Z9-1</f>
        <v>0.21077294081731957</v>
      </c>
    </row>
    <row r="10" spans="1:28">
      <c r="B10" s="12" t="s">
        <v>14</v>
      </c>
      <c r="C10" s="12" t="s">
        <v>15</v>
      </c>
      <c r="D10" s="94">
        <v>290.22858040415656</v>
      </c>
      <c r="E10" s="25">
        <v>271.70898466302566</v>
      </c>
      <c r="F10" s="25">
        <v>214.18226763318845</v>
      </c>
      <c r="G10" s="25">
        <v>320.71897813332839</v>
      </c>
      <c r="H10" s="25">
        <v>385.85798431802806</v>
      </c>
      <c r="I10" s="25">
        <v>346.33781999519397</v>
      </c>
      <c r="J10" s="25">
        <v>319.28933260710011</v>
      </c>
      <c r="K10" s="25">
        <v>287.8192267489498</v>
      </c>
      <c r="L10" s="25">
        <v>215.32391997181563</v>
      </c>
      <c r="M10" s="25">
        <v>185.04875777093758</v>
      </c>
      <c r="N10" s="212">
        <v>212.38942158554551</v>
      </c>
      <c r="O10" s="214">
        <v>236.92028468508218</v>
      </c>
      <c r="P10" s="214">
        <v>239.62073972752088</v>
      </c>
      <c r="Q10" s="214"/>
      <c r="R10" s="214"/>
      <c r="S10" s="214"/>
      <c r="T10" s="214"/>
      <c r="U10" s="214"/>
      <c r="V10" s="214"/>
      <c r="W10" s="214"/>
      <c r="X10" s="214"/>
      <c r="Y10" s="213"/>
      <c r="Z10" s="228">
        <v>176.22202486510491</v>
      </c>
      <c r="AA10" s="215">
        <v>230.12883426205676</v>
      </c>
      <c r="AB10" s="236">
        <f t="shared" si="0"/>
        <v>0.30590279187982672</v>
      </c>
    </row>
    <row r="11" spans="1:28">
      <c r="D11" s="94"/>
      <c r="E11" s="25"/>
      <c r="F11" s="25"/>
      <c r="G11" s="25"/>
      <c r="H11" s="25"/>
      <c r="I11" s="25"/>
      <c r="J11" s="25"/>
      <c r="K11" s="25"/>
      <c r="L11" s="25"/>
      <c r="M11" s="25"/>
      <c r="N11" s="212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6"/>
      <c r="AA11" s="215"/>
      <c r="AB11" s="236"/>
    </row>
    <row r="12" spans="1:28">
      <c r="A12" s="12" t="s">
        <v>16</v>
      </c>
      <c r="B12" s="12" t="s">
        <v>10</v>
      </c>
      <c r="C12" s="12" t="s">
        <v>11</v>
      </c>
      <c r="D12" s="94">
        <v>4187.4032129251573</v>
      </c>
      <c r="E12" s="25">
        <v>5586.0346055150185</v>
      </c>
      <c r="F12" s="25">
        <v>6790.9480920625147</v>
      </c>
      <c r="G12" s="25">
        <v>7744.6314899523886</v>
      </c>
      <c r="H12" s="25">
        <v>10235.353079840146</v>
      </c>
      <c r="I12" s="25">
        <v>10745.515758961699</v>
      </c>
      <c r="J12" s="25">
        <v>8536.2794900494937</v>
      </c>
      <c r="K12" s="25">
        <v>6729.0722178974011</v>
      </c>
      <c r="L12" s="25">
        <v>6536.8565620916115</v>
      </c>
      <c r="M12" s="25">
        <v>7266.6062404091153</v>
      </c>
      <c r="N12" s="212">
        <v>558.30320343527637</v>
      </c>
      <c r="O12" s="214">
        <v>573.82843070860213</v>
      </c>
      <c r="P12" s="214">
        <v>571.96601775794591</v>
      </c>
      <c r="Q12" s="214"/>
      <c r="R12" s="214"/>
      <c r="S12" s="214"/>
      <c r="T12" s="214"/>
      <c r="U12" s="214"/>
      <c r="V12" s="214"/>
      <c r="W12" s="214"/>
      <c r="X12" s="214"/>
      <c r="Y12" s="213"/>
      <c r="Z12" s="228">
        <v>1647.9146319971508</v>
      </c>
      <c r="AA12" s="215">
        <v>1704.0976519018245</v>
      </c>
      <c r="AB12" s="236">
        <f t="shared" si="0"/>
        <v>3.4093404363176427E-2</v>
      </c>
    </row>
    <row r="13" spans="1:28">
      <c r="A13" s="49"/>
      <c r="B13" s="12" t="s">
        <v>12</v>
      </c>
      <c r="C13" s="12" t="s">
        <v>17</v>
      </c>
      <c r="D13" s="94">
        <v>5967.3943619999991</v>
      </c>
      <c r="E13" s="25">
        <v>6417.683814</v>
      </c>
      <c r="F13" s="25">
        <v>6972.1969499999996</v>
      </c>
      <c r="G13" s="25">
        <v>6334.5532089999997</v>
      </c>
      <c r="H13" s="25">
        <v>6492.2497979999989</v>
      </c>
      <c r="I13" s="25">
        <v>6427.0524130000013</v>
      </c>
      <c r="J13" s="25">
        <v>6047.3659180000004</v>
      </c>
      <c r="K13" s="25">
        <v>5323.3804000000009</v>
      </c>
      <c r="L13" s="25">
        <v>5641.7128549999998</v>
      </c>
      <c r="M13" s="25">
        <v>5810.3506559999996</v>
      </c>
      <c r="N13" s="212">
        <v>468.723795</v>
      </c>
      <c r="O13" s="214">
        <v>464.88693699999999</v>
      </c>
      <c r="P13" s="214">
        <v>464.59994599999999</v>
      </c>
      <c r="Q13" s="214"/>
      <c r="R13" s="214"/>
      <c r="S13" s="214"/>
      <c r="T13" s="214"/>
      <c r="U13" s="214"/>
      <c r="V13" s="214"/>
      <c r="W13" s="214"/>
      <c r="X13" s="214"/>
      <c r="Y13" s="213"/>
      <c r="Z13" s="228">
        <v>1393.630713</v>
      </c>
      <c r="AA13" s="215">
        <v>1398.2106779999999</v>
      </c>
      <c r="AB13" s="236">
        <f t="shared" si="0"/>
        <v>3.2863548121302433E-3</v>
      </c>
    </row>
    <row r="14" spans="1:28">
      <c r="B14" s="12" t="s">
        <v>14</v>
      </c>
      <c r="C14" s="12" t="s">
        <v>18</v>
      </c>
      <c r="D14" s="94">
        <v>697.40740391666668</v>
      </c>
      <c r="E14" s="25">
        <v>872.72369391666655</v>
      </c>
      <c r="F14" s="25">
        <v>973.62445291666654</v>
      </c>
      <c r="G14" s="25">
        <v>1225.2929394166665</v>
      </c>
      <c r="H14" s="25">
        <v>1569.5253051666666</v>
      </c>
      <c r="I14" s="25">
        <v>1669.8708749999998</v>
      </c>
      <c r="J14" s="25">
        <v>1410.99973475</v>
      </c>
      <c r="K14" s="25">
        <v>1266.0884009166668</v>
      </c>
      <c r="L14" s="25">
        <v>1160.0657712499999</v>
      </c>
      <c r="M14" s="25">
        <v>1250.6312735024569</v>
      </c>
      <c r="N14" s="212">
        <v>1191.1134219999999</v>
      </c>
      <c r="O14" s="214">
        <v>1234.339761</v>
      </c>
      <c r="P14" s="214">
        <v>1231.0935950000001</v>
      </c>
      <c r="Q14" s="214"/>
      <c r="R14" s="214"/>
      <c r="S14" s="214"/>
      <c r="T14" s="214"/>
      <c r="U14" s="214"/>
      <c r="V14" s="214"/>
      <c r="W14" s="214"/>
      <c r="X14" s="214"/>
      <c r="Y14" s="213"/>
      <c r="Z14" s="228">
        <v>1182.4614775098967</v>
      </c>
      <c r="AA14" s="215">
        <v>1218.7703031558631</v>
      </c>
      <c r="AB14" s="236">
        <f t="shared" si="0"/>
        <v>3.070613828572899E-2</v>
      </c>
    </row>
    <row r="15" spans="1:28">
      <c r="D15" s="94"/>
      <c r="E15" s="25"/>
      <c r="F15" s="25"/>
      <c r="G15" s="25"/>
      <c r="H15" s="25"/>
      <c r="I15" s="25"/>
      <c r="J15" s="25"/>
      <c r="K15" s="25"/>
      <c r="L15" s="25"/>
      <c r="M15" s="25"/>
      <c r="N15" s="212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3"/>
      <c r="Z15" s="216"/>
      <c r="AA15" s="215"/>
      <c r="AB15" s="236"/>
    </row>
    <row r="16" spans="1:28">
      <c r="A16" s="12" t="s">
        <v>19</v>
      </c>
      <c r="B16" s="12" t="s">
        <v>10</v>
      </c>
      <c r="C16" s="12" t="s">
        <v>11</v>
      </c>
      <c r="D16" s="94">
        <v>2539.4072801646053</v>
      </c>
      <c r="E16" s="25">
        <v>1468.2951198311805</v>
      </c>
      <c r="F16" s="25">
        <v>1233.2203045912822</v>
      </c>
      <c r="G16" s="25">
        <v>1696.0733253334295</v>
      </c>
      <c r="H16" s="25">
        <v>1522.5406592484687</v>
      </c>
      <c r="I16" s="25">
        <v>1352.3374325660052</v>
      </c>
      <c r="J16" s="25">
        <v>1413.8433873410634</v>
      </c>
      <c r="K16" s="25">
        <v>1503.5472338862523</v>
      </c>
      <c r="L16" s="25">
        <v>1506.7224184186537</v>
      </c>
      <c r="M16" s="25">
        <v>1465.5124362924942</v>
      </c>
      <c r="N16" s="212">
        <v>140.90527317247125</v>
      </c>
      <c r="O16" s="214">
        <v>192.93146834337486</v>
      </c>
      <c r="P16" s="214">
        <v>173.49510630494905</v>
      </c>
      <c r="Q16" s="214"/>
      <c r="R16" s="214"/>
      <c r="S16" s="214"/>
      <c r="T16" s="214"/>
      <c r="U16" s="214"/>
      <c r="V16" s="214"/>
      <c r="W16" s="214"/>
      <c r="X16" s="214"/>
      <c r="Y16" s="213"/>
      <c r="Z16" s="228">
        <v>299.78331797523231</v>
      </c>
      <c r="AA16" s="215">
        <v>507.33184782079519</v>
      </c>
      <c r="AB16" s="236">
        <f t="shared" si="0"/>
        <v>0.69232848327707908</v>
      </c>
    </row>
    <row r="17" spans="1:28">
      <c r="A17" s="49"/>
      <c r="B17" s="12" t="s">
        <v>12</v>
      </c>
      <c r="C17" s="12" t="s">
        <v>20</v>
      </c>
      <c r="D17" s="94">
        <v>1272.656301</v>
      </c>
      <c r="E17" s="25">
        <v>1457.1284639999999</v>
      </c>
      <c r="F17" s="25">
        <v>1372.5174649999999</v>
      </c>
      <c r="G17" s="25">
        <v>1314.0726309999998</v>
      </c>
      <c r="H17" s="25">
        <v>1007.2882920000002</v>
      </c>
      <c r="I17" s="25">
        <v>1016.2970770000001</v>
      </c>
      <c r="J17" s="25">
        <v>1079.006396</v>
      </c>
      <c r="K17" s="25">
        <v>1149.2442489999999</v>
      </c>
      <c r="L17" s="25">
        <v>1217.306257</v>
      </c>
      <c r="M17" s="25">
        <v>1113.5895599999999</v>
      </c>
      <c r="N17" s="212">
        <v>91.795159999999996</v>
      </c>
      <c r="O17" s="214">
        <v>110.88611800000001</v>
      </c>
      <c r="P17" s="214">
        <v>95.907124999999994</v>
      </c>
      <c r="Q17" s="214"/>
      <c r="R17" s="214"/>
      <c r="S17" s="214"/>
      <c r="T17" s="214"/>
      <c r="U17" s="214"/>
      <c r="V17" s="214"/>
      <c r="W17" s="214"/>
      <c r="X17" s="214"/>
      <c r="Y17" s="213"/>
      <c r="Z17" s="228">
        <v>275.34888599999999</v>
      </c>
      <c r="AA17" s="215">
        <v>298.58840300000003</v>
      </c>
      <c r="AB17" s="236">
        <f t="shared" si="0"/>
        <v>8.4400257933129996E-2</v>
      </c>
    </row>
    <row r="18" spans="1:28">
      <c r="B18" s="12" t="s">
        <v>14</v>
      </c>
      <c r="C18" s="12" t="s">
        <v>21</v>
      </c>
      <c r="D18" s="94">
        <v>91.125768792814583</v>
      </c>
      <c r="E18" s="25">
        <v>47.179298830636277</v>
      </c>
      <c r="F18" s="25">
        <v>38.911218420424966</v>
      </c>
      <c r="G18" s="25">
        <v>58.560190465615136</v>
      </c>
      <c r="H18" s="25">
        <v>68.605162310181399</v>
      </c>
      <c r="I18" s="25">
        <v>60.456806100984409</v>
      </c>
      <c r="J18" s="25">
        <v>60.195550043938646</v>
      </c>
      <c r="K18" s="25">
        <v>59.377213168564538</v>
      </c>
      <c r="L18" s="25">
        <v>56.735348339658515</v>
      </c>
      <c r="M18" s="25">
        <v>59.693919835454139</v>
      </c>
      <c r="N18" s="212">
        <v>69.626281825532701</v>
      </c>
      <c r="O18" s="214">
        <v>78.920827558821529</v>
      </c>
      <c r="P18" s="214">
        <v>82.054442203604566</v>
      </c>
      <c r="Q18" s="214"/>
      <c r="R18" s="214"/>
      <c r="S18" s="214"/>
      <c r="T18" s="214"/>
      <c r="U18" s="214"/>
      <c r="V18" s="214"/>
      <c r="W18" s="214"/>
      <c r="X18" s="214"/>
      <c r="Y18" s="213"/>
      <c r="Z18" s="228">
        <v>49.384411051094361</v>
      </c>
      <c r="AA18" s="215">
        <v>77.06992398814424</v>
      </c>
      <c r="AB18" s="236">
        <f t="shared" si="0"/>
        <v>0.56061239463614831</v>
      </c>
    </row>
    <row r="19" spans="1:28">
      <c r="D19" s="94"/>
      <c r="E19" s="25"/>
      <c r="F19" s="25"/>
      <c r="G19" s="25"/>
      <c r="H19" s="25"/>
      <c r="I19" s="25"/>
      <c r="J19" s="25"/>
      <c r="K19" s="25"/>
      <c r="L19" s="25"/>
      <c r="M19" s="27"/>
      <c r="N19" s="212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3"/>
      <c r="Z19" s="216"/>
      <c r="AA19" s="215"/>
      <c r="AB19" s="236"/>
    </row>
    <row r="20" spans="1:28">
      <c r="A20" s="12" t="s">
        <v>22</v>
      </c>
      <c r="B20" s="12" t="s">
        <v>10</v>
      </c>
      <c r="C20" s="12" t="s">
        <v>11</v>
      </c>
      <c r="D20" s="94">
        <v>538.233568262017</v>
      </c>
      <c r="E20" s="25">
        <v>595.44527574297194</v>
      </c>
      <c r="F20" s="25">
        <v>214.08494407795499</v>
      </c>
      <c r="G20" s="25">
        <v>118.20838016762899</v>
      </c>
      <c r="H20" s="25">
        <v>219.44862884541499</v>
      </c>
      <c r="I20" s="25">
        <v>209.569981439488</v>
      </c>
      <c r="J20" s="25">
        <v>479.2518043975009</v>
      </c>
      <c r="K20" s="25">
        <v>331.07695278478701</v>
      </c>
      <c r="L20" s="25">
        <v>137.79635297098301</v>
      </c>
      <c r="M20" s="27">
        <v>119.93616545629101</v>
      </c>
      <c r="N20" s="208">
        <v>7.5365141339719992</v>
      </c>
      <c r="O20" s="210">
        <v>7.9358093231760005</v>
      </c>
      <c r="P20" s="210">
        <v>8.32462269062</v>
      </c>
      <c r="Q20" s="210"/>
      <c r="R20" s="210"/>
      <c r="S20" s="210"/>
      <c r="T20" s="210"/>
      <c r="U20" s="210"/>
      <c r="V20" s="210"/>
      <c r="W20" s="210"/>
      <c r="X20" s="210"/>
      <c r="Y20" s="209"/>
      <c r="Z20" s="228">
        <v>26.375092206255001</v>
      </c>
      <c r="AA20" s="215">
        <v>23.796946147768001</v>
      </c>
      <c r="AB20" s="236">
        <f t="shared" si="0"/>
        <v>-9.7749271863230791E-2</v>
      </c>
    </row>
    <row r="21" spans="1:28">
      <c r="A21" s="49"/>
      <c r="B21" s="12" t="s">
        <v>12</v>
      </c>
      <c r="C21" s="12" t="s">
        <v>23</v>
      </c>
      <c r="D21" s="94">
        <v>40.359925000000004</v>
      </c>
      <c r="E21" s="25">
        <v>39.690534</v>
      </c>
      <c r="F21" s="25">
        <v>16.249386999999999</v>
      </c>
      <c r="G21" s="25">
        <v>6.1603579999999996</v>
      </c>
      <c r="H21" s="25">
        <v>6.5176329999999991</v>
      </c>
      <c r="I21" s="25">
        <v>6.9355449999999994</v>
      </c>
      <c r="J21" s="25">
        <v>21.204193999999998</v>
      </c>
      <c r="K21" s="25">
        <v>17.144968000000002</v>
      </c>
      <c r="L21" s="25">
        <v>8.9059539999999995</v>
      </c>
      <c r="M21" s="27">
        <v>7.1238969999999986</v>
      </c>
      <c r="N21" s="210">
        <v>0.44813199999999997</v>
      </c>
      <c r="O21" s="210">
        <v>0.46284199999999998</v>
      </c>
      <c r="P21" s="210">
        <v>0.47302</v>
      </c>
      <c r="Q21" s="210"/>
      <c r="R21" s="210"/>
      <c r="S21" s="210"/>
      <c r="T21" s="210"/>
      <c r="U21" s="210"/>
      <c r="V21" s="210"/>
      <c r="W21" s="210"/>
      <c r="X21" s="210"/>
      <c r="Y21" s="209"/>
      <c r="Z21" s="227">
        <v>1.8124400000000001</v>
      </c>
      <c r="AA21" s="211">
        <v>1.3839939999999999</v>
      </c>
      <c r="AB21" s="236">
        <f t="shared" si="0"/>
        <v>-0.23639182538456449</v>
      </c>
    </row>
    <row r="22" spans="1:28">
      <c r="B22" s="12" t="s">
        <v>14</v>
      </c>
      <c r="C22" s="12" t="s">
        <v>24</v>
      </c>
      <c r="D22" s="94">
        <v>13.351383499999999</v>
      </c>
      <c r="E22" s="25">
        <v>14.948861916666667</v>
      </c>
      <c r="F22" s="25">
        <v>14.163348416666665</v>
      </c>
      <c r="G22" s="25">
        <v>19.073053666666667</v>
      </c>
      <c r="H22" s="25">
        <v>33.680962833333332</v>
      </c>
      <c r="I22" s="25">
        <v>30.22969075</v>
      </c>
      <c r="J22" s="25">
        <v>23.909081333333337</v>
      </c>
      <c r="K22" s="25">
        <v>18.864849666666668</v>
      </c>
      <c r="L22" s="25">
        <v>15.475446250000003</v>
      </c>
      <c r="M22" s="27">
        <v>16.835752321558136</v>
      </c>
      <c r="N22" s="210">
        <v>16.817620999999999</v>
      </c>
      <c r="O22" s="210">
        <v>17.145828000000002</v>
      </c>
      <c r="P22" s="210">
        <v>17.598880999999999</v>
      </c>
      <c r="Q22" s="210"/>
      <c r="R22" s="210"/>
      <c r="S22" s="210"/>
      <c r="T22" s="210"/>
      <c r="U22" s="210"/>
      <c r="V22" s="210"/>
      <c r="W22" s="210"/>
      <c r="X22" s="210"/>
      <c r="Y22" s="209"/>
      <c r="Z22" s="227">
        <v>14.552256740225884</v>
      </c>
      <c r="AA22" s="211">
        <v>17.194399793473096</v>
      </c>
      <c r="AB22" s="236">
        <f t="shared" si="0"/>
        <v>0.18156242708003512</v>
      </c>
    </row>
    <row r="23" spans="1:28">
      <c r="D23" s="94"/>
      <c r="E23" s="25"/>
      <c r="F23" s="25"/>
      <c r="G23" s="25"/>
      <c r="H23" s="25"/>
      <c r="I23" s="25"/>
      <c r="J23" s="25"/>
      <c r="K23" s="25"/>
      <c r="L23" s="25"/>
      <c r="M23" s="27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3"/>
      <c r="Z23" s="216"/>
      <c r="AA23" s="215"/>
      <c r="AB23" s="236"/>
    </row>
    <row r="24" spans="1:28">
      <c r="A24" s="12" t="s">
        <v>25</v>
      </c>
      <c r="B24" s="12" t="s">
        <v>10</v>
      </c>
      <c r="C24" s="12" t="s">
        <v>11</v>
      </c>
      <c r="D24" s="94">
        <v>1032.9556582579808</v>
      </c>
      <c r="E24" s="25">
        <v>1135.6647188208904</v>
      </c>
      <c r="F24" s="25">
        <v>1115.8065786717914</v>
      </c>
      <c r="G24" s="25">
        <v>1578.8088600715344</v>
      </c>
      <c r="H24" s="25">
        <v>2426.735952128829</v>
      </c>
      <c r="I24" s="25">
        <v>2575.3341204307012</v>
      </c>
      <c r="J24" s="25">
        <v>1776.0595258877415</v>
      </c>
      <c r="K24" s="25">
        <v>1522.5135211197114</v>
      </c>
      <c r="L24" s="25">
        <v>1541.6724338588276</v>
      </c>
      <c r="M24" s="27">
        <v>1655.9292457940699</v>
      </c>
      <c r="N24" s="214">
        <v>99.396984291575095</v>
      </c>
      <c r="O24" s="214">
        <v>156.49080292927403</v>
      </c>
      <c r="P24" s="214">
        <v>79.020242344137259</v>
      </c>
      <c r="Q24" s="214"/>
      <c r="R24" s="214"/>
      <c r="S24" s="214"/>
      <c r="T24" s="214"/>
      <c r="U24" s="214"/>
      <c r="V24" s="214"/>
      <c r="W24" s="214"/>
      <c r="X24" s="214"/>
      <c r="Y24" s="213"/>
      <c r="Z24" s="228">
        <v>353.92696184644814</v>
      </c>
      <c r="AA24" s="215">
        <v>334.90802956498641</v>
      </c>
      <c r="AB24" s="236">
        <f t="shared" si="0"/>
        <v>-5.3736884531880191E-2</v>
      </c>
    </row>
    <row r="25" spans="1:28">
      <c r="A25" s="49"/>
      <c r="B25" s="12" t="s">
        <v>12</v>
      </c>
      <c r="C25" s="12" t="s">
        <v>20</v>
      </c>
      <c r="D25" s="94">
        <v>416.63830099999996</v>
      </c>
      <c r="E25" s="25">
        <v>524.99695399999996</v>
      </c>
      <c r="F25" s="25">
        <v>681.50997000000007</v>
      </c>
      <c r="G25" s="25">
        <v>769.96655399999997</v>
      </c>
      <c r="H25" s="25">
        <v>987.66261499999996</v>
      </c>
      <c r="I25" s="25">
        <v>1169.6602899999998</v>
      </c>
      <c r="J25" s="25">
        <v>855.15530999999999</v>
      </c>
      <c r="K25" s="25">
        <v>771.45482600000003</v>
      </c>
      <c r="L25" s="25">
        <v>934.00496799999996</v>
      </c>
      <c r="M25" s="27">
        <v>941.4404310000001</v>
      </c>
      <c r="N25" s="210">
        <v>51.955984000000001</v>
      </c>
      <c r="O25" s="210">
        <v>78.213014999999999</v>
      </c>
      <c r="P25" s="210">
        <v>40.205662000000004</v>
      </c>
      <c r="Q25" s="210"/>
      <c r="R25" s="210"/>
      <c r="S25" s="210"/>
      <c r="T25" s="210"/>
      <c r="U25" s="210"/>
      <c r="V25" s="210"/>
      <c r="W25" s="210"/>
      <c r="X25" s="210"/>
      <c r="Y25" s="209"/>
      <c r="Z25" s="228">
        <v>216.31008500000002</v>
      </c>
      <c r="AA25" s="215">
        <v>170.374661</v>
      </c>
      <c r="AB25" s="236">
        <f t="shared" si="0"/>
        <v>-0.21235914173858328</v>
      </c>
    </row>
    <row r="26" spans="1:28">
      <c r="B26" s="12" t="s">
        <v>14</v>
      </c>
      <c r="C26" s="12" t="s">
        <v>21</v>
      </c>
      <c r="D26" s="94">
        <v>114.71432095894141</v>
      </c>
      <c r="E26" s="25">
        <v>100.20320343604413</v>
      </c>
      <c r="F26" s="25">
        <v>72.089295361518609</v>
      </c>
      <c r="G26" s="25">
        <v>92.382053407846414</v>
      </c>
      <c r="H26" s="25">
        <v>112.60864159269941</v>
      </c>
      <c r="I26" s="25">
        <v>100.21019140710636</v>
      </c>
      <c r="J26" s="25">
        <v>95.71337177118636</v>
      </c>
      <c r="K26" s="25">
        <v>89.760157366297094</v>
      </c>
      <c r="L26" s="25">
        <v>75.174206146126849</v>
      </c>
      <c r="M26" s="27">
        <v>79.783791562277244</v>
      </c>
      <c r="N26" s="210">
        <v>86.77674871034742</v>
      </c>
      <c r="O26" s="210">
        <v>90.756038728199329</v>
      </c>
      <c r="P26" s="210">
        <v>89.149083039228586</v>
      </c>
      <c r="Q26" s="210"/>
      <c r="R26" s="210"/>
      <c r="S26" s="210"/>
      <c r="T26" s="210"/>
      <c r="U26" s="210"/>
      <c r="V26" s="210"/>
      <c r="W26" s="210"/>
      <c r="X26" s="210"/>
      <c r="Y26" s="209"/>
      <c r="Z26" s="227">
        <v>74.216867618923075</v>
      </c>
      <c r="AA26" s="211">
        <v>89.163333309530245</v>
      </c>
      <c r="AB26" s="236">
        <f t="shared" si="0"/>
        <v>0.2013890665306961</v>
      </c>
    </row>
    <row r="27" spans="1:28">
      <c r="D27" s="94"/>
      <c r="E27" s="25"/>
      <c r="F27" s="25"/>
      <c r="G27" s="25"/>
      <c r="H27" s="25"/>
      <c r="I27" s="25"/>
      <c r="J27" s="25"/>
      <c r="K27" s="25"/>
      <c r="L27" s="25"/>
      <c r="M27" s="27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3"/>
      <c r="Z27" s="216"/>
      <c r="AA27" s="215"/>
      <c r="AB27" s="236"/>
    </row>
    <row r="28" spans="1:28">
      <c r="A28" s="12" t="s">
        <v>27</v>
      </c>
      <c r="B28" s="12" t="s">
        <v>10</v>
      </c>
      <c r="C28" s="12" t="s">
        <v>11</v>
      </c>
      <c r="D28" s="94">
        <v>285.41642566243098</v>
      </c>
      <c r="E28" s="25">
        <v>385.08789704585701</v>
      </c>
      <c r="F28" s="25">
        <v>297.68320635250899</v>
      </c>
      <c r="G28" s="25">
        <v>523.27650585695505</v>
      </c>
      <c r="H28" s="25">
        <v>1030.072291616872</v>
      </c>
      <c r="I28" s="25">
        <v>844.8284799506572</v>
      </c>
      <c r="J28" s="25">
        <v>856.80847467289618</v>
      </c>
      <c r="K28" s="25">
        <v>646.70480025804579</v>
      </c>
      <c r="L28" s="25">
        <v>350.00259655641497</v>
      </c>
      <c r="M28" s="27">
        <v>344.26226528241506</v>
      </c>
      <c r="N28" s="210">
        <v>27.353139893823393</v>
      </c>
      <c r="O28" s="210">
        <v>27.810328453472</v>
      </c>
      <c r="P28" s="210">
        <v>35.308213501116761</v>
      </c>
      <c r="Q28" s="210"/>
      <c r="R28" s="210"/>
      <c r="S28" s="210"/>
      <c r="T28" s="210"/>
      <c r="U28" s="210"/>
      <c r="V28" s="210"/>
      <c r="W28" s="210"/>
      <c r="X28" s="210"/>
      <c r="Y28" s="209"/>
      <c r="Z28" s="227">
        <v>71.297527080395923</v>
      </c>
      <c r="AA28" s="211">
        <v>90.471681848412146</v>
      </c>
      <c r="AB28" s="236">
        <f t="shared" si="0"/>
        <v>0.26893155419535408</v>
      </c>
    </row>
    <row r="29" spans="1:28">
      <c r="A29" s="49"/>
      <c r="B29" s="12" t="s">
        <v>12</v>
      </c>
      <c r="C29" s="12" t="s">
        <v>20</v>
      </c>
      <c r="D29" s="94">
        <v>7.1777029999999993</v>
      </c>
      <c r="E29" s="25">
        <v>6.8411140000000001</v>
      </c>
      <c r="F29" s="25">
        <v>6.7791249999999996</v>
      </c>
      <c r="G29" s="25">
        <v>7.959607000000001</v>
      </c>
      <c r="H29" s="25">
        <v>9.2557340000000003</v>
      </c>
      <c r="I29" s="25">
        <v>9.7848829999999989</v>
      </c>
      <c r="J29" s="25">
        <v>10.373199999999999</v>
      </c>
      <c r="K29" s="25">
        <v>11.368120999999999</v>
      </c>
      <c r="L29" s="25">
        <v>11.646831000000001</v>
      </c>
      <c r="M29" s="27">
        <v>19.371681000000002</v>
      </c>
      <c r="N29" s="210">
        <v>1.31603</v>
      </c>
      <c r="O29" s="210">
        <v>1.4013199999999999</v>
      </c>
      <c r="P29" s="210">
        <v>1.811407</v>
      </c>
      <c r="Q29" s="210"/>
      <c r="R29" s="210"/>
      <c r="S29" s="210"/>
      <c r="T29" s="210"/>
      <c r="U29" s="210"/>
      <c r="V29" s="210"/>
      <c r="W29" s="210"/>
      <c r="X29" s="210"/>
      <c r="Y29" s="209"/>
      <c r="Z29" s="227">
        <v>4.6769569999999998</v>
      </c>
      <c r="AA29" s="211">
        <v>4.5287569999999997</v>
      </c>
      <c r="AB29" s="236">
        <f t="shared" si="0"/>
        <v>-3.1687270163056946E-2</v>
      </c>
    </row>
    <row r="30" spans="1:28">
      <c r="B30" s="12" t="s">
        <v>14</v>
      </c>
      <c r="C30" s="12" t="s">
        <v>28</v>
      </c>
      <c r="D30" s="94">
        <v>39.19748633826304</v>
      </c>
      <c r="E30" s="25">
        <v>55.829632338133472</v>
      </c>
      <c r="F30" s="25">
        <v>44.72935917880438</v>
      </c>
      <c r="G30" s="25">
        <v>65.32336672080416</v>
      </c>
      <c r="H30" s="25">
        <v>113.09592104471501</v>
      </c>
      <c r="I30" s="25">
        <v>88.178737441352482</v>
      </c>
      <c r="J30" s="25">
        <v>82.404491858548326</v>
      </c>
      <c r="K30" s="25">
        <v>56.288874678169215</v>
      </c>
      <c r="L30" s="25">
        <v>30.894777492697656</v>
      </c>
      <c r="M30" s="27">
        <v>806.09801911883301</v>
      </c>
      <c r="N30" s="210">
        <v>942.77300300000002</v>
      </c>
      <c r="O30" s="210">
        <v>900.19073400000002</v>
      </c>
      <c r="P30" s="210">
        <v>884.14896499999998</v>
      </c>
      <c r="Q30" s="210"/>
      <c r="R30" s="210"/>
      <c r="S30" s="210"/>
      <c r="T30" s="210"/>
      <c r="U30" s="210"/>
      <c r="V30" s="210"/>
      <c r="W30" s="210"/>
      <c r="X30" s="210"/>
      <c r="Y30" s="209"/>
      <c r="Z30" s="227">
        <v>691.47555309009613</v>
      </c>
      <c r="AA30" s="211">
        <v>906.14852127211179</v>
      </c>
      <c r="AB30" s="236">
        <f t="shared" si="0"/>
        <v>0.31045633822146823</v>
      </c>
    </row>
    <row r="31" spans="1:28">
      <c r="D31" s="94"/>
      <c r="E31" s="25"/>
      <c r="F31" s="25"/>
      <c r="G31" s="25"/>
      <c r="H31" s="25"/>
      <c r="I31" s="25"/>
      <c r="J31" s="25"/>
      <c r="K31" s="25"/>
      <c r="L31" s="25"/>
      <c r="M31" s="27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3"/>
      <c r="Z31" s="216"/>
      <c r="AA31" s="215"/>
      <c r="AB31" s="236"/>
    </row>
    <row r="32" spans="1:28">
      <c r="A32" s="12" t="s">
        <v>26</v>
      </c>
      <c r="B32" s="12" t="s">
        <v>10</v>
      </c>
      <c r="C32" s="12" t="s">
        <v>11</v>
      </c>
      <c r="D32" s="94">
        <v>595.09949347270776</v>
      </c>
      <c r="E32" s="25">
        <v>662.76975228062634</v>
      </c>
      <c r="F32" s="25">
        <v>591.21348325130839</v>
      </c>
      <c r="G32" s="25">
        <v>841.62143845581932</v>
      </c>
      <c r="H32" s="25">
        <v>775.59494796720764</v>
      </c>
      <c r="I32" s="25">
        <v>558.25922602627895</v>
      </c>
      <c r="J32" s="25">
        <v>527.71235375709966</v>
      </c>
      <c r="K32" s="25">
        <v>539.5582164992918</v>
      </c>
      <c r="L32" s="25">
        <v>341.685340655076</v>
      </c>
      <c r="M32" s="27">
        <v>343.75473560885104</v>
      </c>
      <c r="N32" s="210">
        <v>66.769689257564991</v>
      </c>
      <c r="O32" s="210">
        <v>32.514615547974003</v>
      </c>
      <c r="P32" s="210">
        <v>54.897099422973</v>
      </c>
      <c r="Q32" s="210"/>
      <c r="R32" s="210"/>
      <c r="S32" s="210"/>
      <c r="T32" s="210"/>
      <c r="U32" s="210"/>
      <c r="V32" s="210"/>
      <c r="W32" s="210"/>
      <c r="X32" s="210"/>
      <c r="Y32" s="209"/>
      <c r="Z32" s="227">
        <v>70.258313723878999</v>
      </c>
      <c r="AA32" s="211">
        <v>154.18140422851201</v>
      </c>
      <c r="AB32" s="236">
        <f>AA32/Z32-1</f>
        <v>1.1944933781709839</v>
      </c>
    </row>
    <row r="33" spans="1:28">
      <c r="A33" s="49"/>
      <c r="B33" s="12" t="s">
        <v>12</v>
      </c>
      <c r="C33" s="12" t="s">
        <v>20</v>
      </c>
      <c r="D33" s="94">
        <v>41.111622999999994</v>
      </c>
      <c r="E33" s="25">
        <v>38.263483999999998</v>
      </c>
      <c r="F33" s="25">
        <v>37.071149999999996</v>
      </c>
      <c r="G33" s="25">
        <v>39.02278900000001</v>
      </c>
      <c r="H33" s="25">
        <v>31.899958000000002</v>
      </c>
      <c r="I33" s="25">
        <v>25.545801000000001</v>
      </c>
      <c r="J33" s="25">
        <v>23.824697999999998</v>
      </c>
      <c r="K33" s="25">
        <v>24.640213999999997</v>
      </c>
      <c r="L33" s="25">
        <v>20.111056000000001</v>
      </c>
      <c r="M33" s="27">
        <v>11.359424000000001</v>
      </c>
      <c r="N33" s="210">
        <v>1.3887149999999999</v>
      </c>
      <c r="O33" s="210">
        <v>0.74816900000000008</v>
      </c>
      <c r="P33" s="210">
        <v>1.328354</v>
      </c>
      <c r="Q33" s="210"/>
      <c r="R33" s="210"/>
      <c r="S33" s="210"/>
      <c r="T33" s="210"/>
      <c r="U33" s="210"/>
      <c r="V33" s="210"/>
      <c r="W33" s="210"/>
      <c r="X33" s="210"/>
      <c r="Y33" s="209"/>
      <c r="Z33" s="227">
        <v>2.8683390000000002</v>
      </c>
      <c r="AA33" s="211">
        <v>3.4652380000000003</v>
      </c>
      <c r="AB33" s="236">
        <f>AA33/Z33-1</f>
        <v>0.20809918213990741</v>
      </c>
    </row>
    <row r="34" spans="1:28">
      <c r="B34" s="12" t="s">
        <v>14</v>
      </c>
      <c r="C34" s="12" t="s">
        <v>21</v>
      </c>
      <c r="D34" s="94">
        <v>655.87879983333335</v>
      </c>
      <c r="E34" s="25">
        <v>815.13743308333324</v>
      </c>
      <c r="F34" s="25">
        <v>730.37841925000009</v>
      </c>
      <c r="G34" s="25">
        <v>986.36481341666683</v>
      </c>
      <c r="H34" s="25">
        <v>1102.8199075</v>
      </c>
      <c r="I34" s="25">
        <v>993.85511075000011</v>
      </c>
      <c r="J34" s="25">
        <v>1008.0133165833332</v>
      </c>
      <c r="K34" s="25">
        <v>990.55228941666667</v>
      </c>
      <c r="L34" s="25">
        <v>770.33709941666666</v>
      </c>
      <c r="M34" s="27">
        <v>30.261634358295897</v>
      </c>
      <c r="N34" s="214">
        <v>48.080195905974222</v>
      </c>
      <c r="O34" s="214">
        <v>43.458918436842474</v>
      </c>
      <c r="P34" s="214">
        <v>41.327160849421915</v>
      </c>
      <c r="Q34" s="214"/>
      <c r="R34" s="214"/>
      <c r="S34" s="214"/>
      <c r="T34" s="214"/>
      <c r="U34" s="214"/>
      <c r="V34" s="214"/>
      <c r="W34" s="214"/>
      <c r="X34" s="214"/>
      <c r="Y34" s="213"/>
      <c r="Z34" s="228">
        <v>24.494424725905478</v>
      </c>
      <c r="AA34" s="215">
        <v>44.493741621358183</v>
      </c>
      <c r="AB34" s="236">
        <f>AA34/Z34-1</f>
        <v>0.81648444979813228</v>
      </c>
    </row>
    <row r="35" spans="1:28">
      <c r="D35" s="94"/>
      <c r="E35" s="25"/>
      <c r="F35" s="25"/>
      <c r="G35" s="25"/>
      <c r="H35" s="25"/>
      <c r="I35" s="25"/>
      <c r="J35" s="25"/>
      <c r="K35" s="25"/>
      <c r="L35" s="25"/>
      <c r="M35" s="27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3"/>
      <c r="Z35" s="216"/>
      <c r="AA35" s="215"/>
      <c r="AB35" s="236"/>
    </row>
    <row r="36" spans="1:28">
      <c r="A36" s="12" t="s">
        <v>29</v>
      </c>
      <c r="B36" s="12" t="s">
        <v>10</v>
      </c>
      <c r="C36" s="12" t="s">
        <v>11</v>
      </c>
      <c r="D36" s="94">
        <v>991.16764057624141</v>
      </c>
      <c r="E36" s="25">
        <v>943.09487178572181</v>
      </c>
      <c r="F36" s="25">
        <v>275.96500791530212</v>
      </c>
      <c r="G36" s="25">
        <v>491.9356947636328</v>
      </c>
      <c r="H36" s="25">
        <v>563.68947023926762</v>
      </c>
      <c r="I36" s="25">
        <v>428.26749069318208</v>
      </c>
      <c r="J36" s="25">
        <v>355.52074602744028</v>
      </c>
      <c r="K36" s="25">
        <v>360.16193124196127</v>
      </c>
      <c r="L36" s="25">
        <v>219.63469285986599</v>
      </c>
      <c r="M36" s="27">
        <v>272.67154160154439</v>
      </c>
      <c r="N36" s="214">
        <v>19.184964352212127</v>
      </c>
      <c r="O36" s="214">
        <v>23.393300919776348</v>
      </c>
      <c r="P36" s="214">
        <v>27.712650396795379</v>
      </c>
      <c r="Q36" s="214"/>
      <c r="R36" s="214"/>
      <c r="S36" s="214"/>
      <c r="T36" s="214"/>
      <c r="U36" s="214"/>
      <c r="V36" s="214"/>
      <c r="W36" s="214"/>
      <c r="X36" s="214"/>
      <c r="Y36" s="213"/>
      <c r="Z36" s="228">
        <v>43.930648168947563</v>
      </c>
      <c r="AA36" s="215">
        <v>70.290915668783853</v>
      </c>
      <c r="AB36" s="236">
        <f t="shared" si="0"/>
        <v>0.60004276282153923</v>
      </c>
    </row>
    <row r="37" spans="1:28">
      <c r="A37" s="49"/>
      <c r="B37" s="12" t="s">
        <v>12</v>
      </c>
      <c r="C37" s="12" t="s">
        <v>20</v>
      </c>
      <c r="D37" s="94">
        <v>16.161707224000001</v>
      </c>
      <c r="E37" s="25">
        <v>18.255964222000003</v>
      </c>
      <c r="F37" s="25">
        <v>12.22908432</v>
      </c>
      <c r="G37" s="25">
        <v>16.693816124000001</v>
      </c>
      <c r="H37" s="25">
        <v>19.451061820000003</v>
      </c>
      <c r="I37" s="25">
        <v>17.877299378000004</v>
      </c>
      <c r="J37" s="25">
        <v>18.448508504000003</v>
      </c>
      <c r="K37" s="25">
        <v>16.477174284000004</v>
      </c>
      <c r="L37" s="25">
        <v>17.754669809999999</v>
      </c>
      <c r="M37" s="27">
        <v>24.406133279999999</v>
      </c>
      <c r="N37" s="210">
        <v>1.5830079720000001</v>
      </c>
      <c r="O37" s="210">
        <v>1.743105474</v>
      </c>
      <c r="P37" s="210">
        <v>1.9565257700000001</v>
      </c>
      <c r="Q37" s="210"/>
      <c r="R37" s="210"/>
      <c r="S37" s="210"/>
      <c r="T37" s="210"/>
      <c r="U37" s="210"/>
      <c r="V37" s="210"/>
      <c r="W37" s="210"/>
      <c r="X37" s="210"/>
      <c r="Y37" s="209"/>
      <c r="Z37" s="227">
        <v>5.0004635960000003</v>
      </c>
      <c r="AA37" s="211">
        <v>5.2826392159999997</v>
      </c>
      <c r="AB37" s="236">
        <f t="shared" si="0"/>
        <v>5.6429891865570125E-2</v>
      </c>
    </row>
    <row r="38" spans="1:28">
      <c r="B38" s="12" t="s">
        <v>14</v>
      </c>
      <c r="C38" s="12" t="s">
        <v>21</v>
      </c>
      <c r="D38" s="94">
        <v>2751.2270675162345</v>
      </c>
      <c r="E38" s="25">
        <v>2341.4703741318804</v>
      </c>
      <c r="F38" s="25">
        <v>1021.1318431412325</v>
      </c>
      <c r="G38" s="25">
        <v>1325.3933700418327</v>
      </c>
      <c r="H38" s="25">
        <v>1325.905731583126</v>
      </c>
      <c r="I38" s="25">
        <v>1082.8407173865523</v>
      </c>
      <c r="J38" s="25">
        <v>886.23183702941606</v>
      </c>
      <c r="K38" s="25">
        <v>999.05198578916281</v>
      </c>
      <c r="L38" s="25">
        <v>562.95747952334375</v>
      </c>
      <c r="M38" s="27">
        <v>506.76495685595188</v>
      </c>
      <c r="N38" s="214">
        <v>549.72265476913287</v>
      </c>
      <c r="O38" s="214">
        <v>608.742440695504</v>
      </c>
      <c r="P38" s="214">
        <v>642.47795583412403</v>
      </c>
      <c r="Q38" s="214"/>
      <c r="R38" s="214"/>
      <c r="S38" s="214"/>
      <c r="T38" s="214"/>
      <c r="U38" s="214"/>
      <c r="V38" s="214"/>
      <c r="W38" s="214"/>
      <c r="X38" s="214"/>
      <c r="Y38" s="213"/>
      <c r="Z38" s="228">
        <v>398.49518821672643</v>
      </c>
      <c r="AA38" s="215">
        <v>603.55102296415851</v>
      </c>
      <c r="AB38" s="236">
        <f t="shared" si="0"/>
        <v>0.51457543481280377</v>
      </c>
    </row>
    <row r="39" spans="1:28">
      <c r="D39" s="94"/>
      <c r="E39" s="25"/>
      <c r="F39" s="25"/>
      <c r="G39" s="25"/>
      <c r="H39" s="25"/>
      <c r="I39" s="25"/>
      <c r="J39" s="25"/>
      <c r="K39" s="25"/>
      <c r="L39" s="25"/>
      <c r="M39" s="27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3"/>
      <c r="Z39" s="216"/>
      <c r="AA39" s="215"/>
      <c r="AB39" s="236"/>
    </row>
    <row r="40" spans="1:28">
      <c r="A40" s="12" t="s">
        <v>32</v>
      </c>
      <c r="B40" s="12" t="s">
        <v>10</v>
      </c>
      <c r="C40" s="12" t="s">
        <v>11</v>
      </c>
      <c r="D40" s="94">
        <v>50.600247423758653</v>
      </c>
      <c r="E40" s="25">
        <v>47.623667214277958</v>
      </c>
      <c r="F40" s="25">
        <v>27.489491084697907</v>
      </c>
      <c r="G40" s="25">
        <v>29.128838236367177</v>
      </c>
      <c r="H40" s="25">
        <v>31.208521760732285</v>
      </c>
      <c r="I40" s="25">
        <v>21.6183863068179</v>
      </c>
      <c r="J40" s="25">
        <v>23.221805972559654</v>
      </c>
      <c r="K40" s="25">
        <v>37.872977758038765</v>
      </c>
      <c r="L40" s="25">
        <v>26.956227140133979</v>
      </c>
      <c r="M40" s="27">
        <v>14.999100398455615</v>
      </c>
      <c r="N40" s="210">
        <v>3.6352076477878725</v>
      </c>
      <c r="O40" s="210">
        <v>3.4352120802236534</v>
      </c>
      <c r="P40" s="210">
        <v>2.2047326032046222</v>
      </c>
      <c r="Q40" s="210"/>
      <c r="R40" s="210"/>
      <c r="S40" s="210"/>
      <c r="T40" s="210"/>
      <c r="U40" s="210"/>
      <c r="V40" s="210"/>
      <c r="W40" s="210"/>
      <c r="X40" s="210"/>
      <c r="Y40" s="209"/>
      <c r="Z40" s="227">
        <v>1.7058428310524398</v>
      </c>
      <c r="AA40" s="215">
        <v>9.2751523312161481</v>
      </c>
      <c r="AB40" s="236">
        <f t="shared" si="0"/>
        <v>4.4372842341481915</v>
      </c>
    </row>
    <row r="41" spans="1:28">
      <c r="D41" s="311"/>
      <c r="E41" s="312"/>
      <c r="F41" s="312"/>
      <c r="G41" s="28"/>
      <c r="H41" s="28"/>
      <c r="I41" s="28"/>
      <c r="J41" s="28"/>
      <c r="K41" s="28"/>
      <c r="L41" s="28"/>
      <c r="M41" s="29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3"/>
      <c r="Z41" s="216"/>
      <c r="AA41" s="215"/>
      <c r="AB41" s="235"/>
    </row>
    <row r="42" spans="1:28" ht="12.75" thickBot="1">
      <c r="A42" s="16" t="s">
        <v>30</v>
      </c>
      <c r="B42" s="16"/>
      <c r="C42" s="16"/>
      <c r="D42" s="95">
        <f t="shared" ref="D42" si="1">SUM(D8,D12,D16,D20,D24,D32,D28,D36,D40)</f>
        <v>17439.352246936651</v>
      </c>
      <c r="E42" s="95">
        <f t="shared" ref="E42" si="2">SUM(E8,E12,E16,E20,E24,E32,E28,E36,E40)</f>
        <v>18100.9679482994</v>
      </c>
      <c r="F42" s="95">
        <f t="shared" ref="F42:L42" si="3">SUM(F8,F12,F16,F20,F24,F32,F28,F36,F40)</f>
        <v>16481.813528277929</v>
      </c>
      <c r="G42" s="96">
        <f t="shared" si="3"/>
        <v>21902.831565768924</v>
      </c>
      <c r="H42" s="96">
        <f t="shared" si="3"/>
        <v>27525.674834212732</v>
      </c>
      <c r="I42" s="96">
        <f t="shared" si="3"/>
        <v>27466.673086776646</v>
      </c>
      <c r="J42" s="96">
        <f t="shared" si="3"/>
        <v>23789.445416193052</v>
      </c>
      <c r="K42" s="96">
        <f t="shared" si="3"/>
        <v>20545.413928408008</v>
      </c>
      <c r="L42" s="96">
        <f t="shared" si="3"/>
        <v>18836.319853859728</v>
      </c>
      <c r="M42" s="97">
        <f t="shared" ref="M42" si="4">SUM(M8,M12,M16,M20,M24,M32,M28,M36,M40)</f>
        <v>21652.039016532101</v>
      </c>
      <c r="N42" s="217">
        <f>N40+N36+N28+N32+N24+N20+N16+N12+N8</f>
        <v>1800.3629075433687</v>
      </c>
      <c r="O42" s="217">
        <f>O40+O36+O28+O32+O24+O20+O16+O12+O8</f>
        <v>2169.4921245278224</v>
      </c>
      <c r="P42" s="217">
        <f t="shared" ref="P42:AA42" si="5">SUM(P8,P12,P16,P20,P24,P32,P28,P36,P40)</f>
        <v>1969.64869364993</v>
      </c>
      <c r="Q42" s="217">
        <f t="shared" si="5"/>
        <v>0</v>
      </c>
      <c r="R42" s="217">
        <f t="shared" si="5"/>
        <v>0</v>
      </c>
      <c r="S42" s="217">
        <f t="shared" si="5"/>
        <v>0</v>
      </c>
      <c r="T42" s="217">
        <f t="shared" si="5"/>
        <v>0</v>
      </c>
      <c r="U42" s="217">
        <f t="shared" si="5"/>
        <v>0</v>
      </c>
      <c r="V42" s="217">
        <f t="shared" si="5"/>
        <v>0</v>
      </c>
      <c r="W42" s="217">
        <f t="shared" si="5"/>
        <v>0</v>
      </c>
      <c r="X42" s="217">
        <f t="shared" si="5"/>
        <v>0</v>
      </c>
      <c r="Y42" s="217">
        <f t="shared" si="5"/>
        <v>0</v>
      </c>
      <c r="Z42" s="217">
        <f t="shared" si="5"/>
        <v>4441.0986062019138</v>
      </c>
      <c r="AA42" s="217">
        <f t="shared" si="5"/>
        <v>5939.5037257211206</v>
      </c>
      <c r="AB42" s="237">
        <f t="shared" si="0"/>
        <v>0.33739514754901223</v>
      </c>
    </row>
    <row r="45" spans="1:28">
      <c r="A45" s="5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77"/>
    </row>
    <row r="46" spans="1:28" s="53" customFormat="1">
      <c r="A46" s="5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B46" s="178"/>
    </row>
    <row r="50" spans="1:29">
      <c r="A50" s="243" t="str">
        <f t="shared" ref="A50:Z50" si="6">A8</f>
        <v>Cobre</v>
      </c>
      <c r="B50" s="243" t="str">
        <f t="shared" si="6"/>
        <v>Valor</v>
      </c>
      <c r="C50" s="243" t="str">
        <f t="shared" si="6"/>
        <v>(US$MM)</v>
      </c>
      <c r="D50" s="244">
        <f t="shared" ref="D50:E50" si="7">D8</f>
        <v>7219.0687201917526</v>
      </c>
      <c r="E50" s="244">
        <f t="shared" si="7"/>
        <v>7276.9520400628562</v>
      </c>
      <c r="F50" s="244">
        <f t="shared" si="6"/>
        <v>5935.4024202705696</v>
      </c>
      <c r="G50" s="244">
        <f t="shared" si="6"/>
        <v>8879.1470329311687</v>
      </c>
      <c r="H50" s="244">
        <f t="shared" si="6"/>
        <v>10721.031282565797</v>
      </c>
      <c r="I50" s="244">
        <f t="shared" si="6"/>
        <v>10730.942210401816</v>
      </c>
      <c r="J50" s="244">
        <f t="shared" si="6"/>
        <v>9820.7478280872583</v>
      </c>
      <c r="K50" s="244">
        <f t="shared" si="6"/>
        <v>8874.9060769625194</v>
      </c>
      <c r="L50" s="244">
        <f t="shared" si="6"/>
        <v>8174.9932293081592</v>
      </c>
      <c r="M50" s="244">
        <f t="shared" ref="M50" si="8">M8</f>
        <v>10168.367285688868</v>
      </c>
      <c r="N50" s="245">
        <f t="shared" si="6"/>
        <v>877.27793135868546</v>
      </c>
      <c r="O50" s="245">
        <f t="shared" si="6"/>
        <v>1151.1521562219493</v>
      </c>
      <c r="P50" s="245">
        <f t="shared" si="6"/>
        <v>1016.7200086281882</v>
      </c>
      <c r="Q50" s="245">
        <f t="shared" si="6"/>
        <v>0</v>
      </c>
      <c r="R50" s="245">
        <f t="shared" si="6"/>
        <v>0</v>
      </c>
      <c r="S50" s="245">
        <f t="shared" si="6"/>
        <v>0</v>
      </c>
      <c r="T50" s="245">
        <f t="shared" si="6"/>
        <v>0</v>
      </c>
      <c r="U50" s="245">
        <f t="shared" si="6"/>
        <v>0</v>
      </c>
      <c r="V50" s="245">
        <f t="shared" si="6"/>
        <v>0</v>
      </c>
      <c r="W50" s="245">
        <f t="shared" si="6"/>
        <v>0</v>
      </c>
      <c r="X50" s="245">
        <f t="shared" si="6"/>
        <v>0</v>
      </c>
      <c r="Y50" s="245">
        <f t="shared" si="6"/>
        <v>0</v>
      </c>
      <c r="Z50" s="246">
        <f t="shared" si="6"/>
        <v>1925.9062703725529</v>
      </c>
      <c r="AA50" s="246">
        <f>AA8</f>
        <v>3045.150096208823</v>
      </c>
      <c r="AB50" s="249">
        <f t="shared" ref="AB50:AB59" si="9">AA50/Z50-1</f>
        <v>0.58115176374588584</v>
      </c>
      <c r="AC50" s="541"/>
    </row>
    <row r="51" spans="1:29">
      <c r="A51" s="243" t="str">
        <f t="shared" ref="A51:AA51" si="10">A12</f>
        <v>Oro</v>
      </c>
      <c r="B51" s="243" t="str">
        <f t="shared" si="10"/>
        <v>Valor</v>
      </c>
      <c r="C51" s="243" t="str">
        <f t="shared" si="10"/>
        <v>(US$MM)</v>
      </c>
      <c r="D51" s="244">
        <f t="shared" ref="D51:E51" si="11">D12</f>
        <v>4187.4032129251573</v>
      </c>
      <c r="E51" s="244">
        <f t="shared" si="11"/>
        <v>5586.0346055150185</v>
      </c>
      <c r="F51" s="244">
        <f t="shared" si="10"/>
        <v>6790.9480920625147</v>
      </c>
      <c r="G51" s="244">
        <f t="shared" si="10"/>
        <v>7744.6314899523886</v>
      </c>
      <c r="H51" s="244">
        <f t="shared" si="10"/>
        <v>10235.353079840146</v>
      </c>
      <c r="I51" s="244">
        <f t="shared" si="10"/>
        <v>10745.515758961699</v>
      </c>
      <c r="J51" s="244">
        <f t="shared" si="10"/>
        <v>8536.2794900494937</v>
      </c>
      <c r="K51" s="244">
        <f t="shared" si="10"/>
        <v>6729.0722178974011</v>
      </c>
      <c r="L51" s="244">
        <f t="shared" si="10"/>
        <v>6536.8565620916115</v>
      </c>
      <c r="M51" s="244">
        <f t="shared" ref="M51" si="12">M12</f>
        <v>7266.6062404091153</v>
      </c>
      <c r="N51" s="245">
        <f t="shared" si="10"/>
        <v>558.30320343527637</v>
      </c>
      <c r="O51" s="245">
        <f t="shared" si="10"/>
        <v>573.82843070860213</v>
      </c>
      <c r="P51" s="245">
        <f t="shared" si="10"/>
        <v>571.96601775794591</v>
      </c>
      <c r="Q51" s="245">
        <f t="shared" si="10"/>
        <v>0</v>
      </c>
      <c r="R51" s="245">
        <f t="shared" si="10"/>
        <v>0</v>
      </c>
      <c r="S51" s="245">
        <f t="shared" si="10"/>
        <v>0</v>
      </c>
      <c r="T51" s="245">
        <f t="shared" si="10"/>
        <v>0</v>
      </c>
      <c r="U51" s="245">
        <f t="shared" si="10"/>
        <v>0</v>
      </c>
      <c r="V51" s="245">
        <f t="shared" si="10"/>
        <v>0</v>
      </c>
      <c r="W51" s="245">
        <f t="shared" si="10"/>
        <v>0</v>
      </c>
      <c r="X51" s="245">
        <f t="shared" si="10"/>
        <v>0</v>
      </c>
      <c r="Y51" s="245">
        <f t="shared" si="10"/>
        <v>0</v>
      </c>
      <c r="Z51" s="246">
        <f t="shared" si="10"/>
        <v>1647.9146319971508</v>
      </c>
      <c r="AA51" s="246">
        <f t="shared" si="10"/>
        <v>1704.0976519018245</v>
      </c>
      <c r="AB51" s="249">
        <f t="shared" si="9"/>
        <v>3.4093404363176427E-2</v>
      </c>
    </row>
    <row r="52" spans="1:29">
      <c r="A52" s="243" t="str">
        <f t="shared" ref="A52:AA52" si="13">A16</f>
        <v>Zinc</v>
      </c>
      <c r="B52" s="243" t="str">
        <f t="shared" si="13"/>
        <v>Valor</v>
      </c>
      <c r="C52" s="243" t="str">
        <f t="shared" si="13"/>
        <v>(US$MM)</v>
      </c>
      <c r="D52" s="244">
        <f t="shared" ref="D52:E52" si="14">D16</f>
        <v>2539.4072801646053</v>
      </c>
      <c r="E52" s="244">
        <f t="shared" si="14"/>
        <v>1468.2951198311805</v>
      </c>
      <c r="F52" s="244">
        <f t="shared" si="13"/>
        <v>1233.2203045912822</v>
      </c>
      <c r="G52" s="244">
        <f t="shared" si="13"/>
        <v>1696.0733253334295</v>
      </c>
      <c r="H52" s="244">
        <f t="shared" si="13"/>
        <v>1522.5406592484687</v>
      </c>
      <c r="I52" s="244">
        <f t="shared" si="13"/>
        <v>1352.3374325660052</v>
      </c>
      <c r="J52" s="244">
        <f t="shared" si="13"/>
        <v>1413.8433873410634</v>
      </c>
      <c r="K52" s="244">
        <f t="shared" si="13"/>
        <v>1503.5472338862523</v>
      </c>
      <c r="L52" s="244">
        <f t="shared" si="13"/>
        <v>1506.7224184186537</v>
      </c>
      <c r="M52" s="244">
        <f t="shared" ref="M52" si="15">M16</f>
        <v>1465.5124362924942</v>
      </c>
      <c r="N52" s="245">
        <f t="shared" si="13"/>
        <v>140.90527317247125</v>
      </c>
      <c r="O52" s="245">
        <f t="shared" si="13"/>
        <v>192.93146834337486</v>
      </c>
      <c r="P52" s="245">
        <f t="shared" si="13"/>
        <v>173.49510630494905</v>
      </c>
      <c r="Q52" s="245">
        <f t="shared" si="13"/>
        <v>0</v>
      </c>
      <c r="R52" s="245">
        <f t="shared" si="13"/>
        <v>0</v>
      </c>
      <c r="S52" s="245">
        <f t="shared" si="13"/>
        <v>0</v>
      </c>
      <c r="T52" s="245">
        <f t="shared" si="13"/>
        <v>0</v>
      </c>
      <c r="U52" s="245">
        <f t="shared" si="13"/>
        <v>0</v>
      </c>
      <c r="V52" s="245">
        <f t="shared" si="13"/>
        <v>0</v>
      </c>
      <c r="W52" s="245">
        <f t="shared" si="13"/>
        <v>0</v>
      </c>
      <c r="X52" s="245">
        <f t="shared" si="13"/>
        <v>0</v>
      </c>
      <c r="Y52" s="245">
        <f t="shared" si="13"/>
        <v>0</v>
      </c>
      <c r="Z52" s="246">
        <f t="shared" si="13"/>
        <v>299.78331797523231</v>
      </c>
      <c r="AA52" s="246">
        <f t="shared" si="13"/>
        <v>507.33184782079519</v>
      </c>
      <c r="AB52" s="249">
        <f t="shared" si="9"/>
        <v>0.69232848327707908</v>
      </c>
    </row>
    <row r="53" spans="1:29">
      <c r="A53" s="243" t="str">
        <f t="shared" ref="A53:AA53" si="16">A20</f>
        <v>Plata</v>
      </c>
      <c r="B53" s="243" t="str">
        <f t="shared" si="16"/>
        <v>Valor</v>
      </c>
      <c r="C53" s="243" t="str">
        <f t="shared" si="16"/>
        <v>(US$MM)</v>
      </c>
      <c r="D53" s="244">
        <f t="shared" ref="D53:E53" si="17">D20</f>
        <v>538.233568262017</v>
      </c>
      <c r="E53" s="244">
        <f t="shared" si="17"/>
        <v>595.44527574297194</v>
      </c>
      <c r="F53" s="244">
        <f t="shared" si="16"/>
        <v>214.08494407795499</v>
      </c>
      <c r="G53" s="244">
        <f t="shared" si="16"/>
        <v>118.20838016762899</v>
      </c>
      <c r="H53" s="244">
        <f t="shared" si="16"/>
        <v>219.44862884541499</v>
      </c>
      <c r="I53" s="244">
        <f t="shared" si="16"/>
        <v>209.569981439488</v>
      </c>
      <c r="J53" s="244">
        <f t="shared" si="16"/>
        <v>479.2518043975009</v>
      </c>
      <c r="K53" s="244">
        <f t="shared" si="16"/>
        <v>331.07695278478701</v>
      </c>
      <c r="L53" s="244">
        <f t="shared" si="16"/>
        <v>137.79635297098301</v>
      </c>
      <c r="M53" s="244">
        <f t="shared" ref="M53" si="18">M20</f>
        <v>119.93616545629101</v>
      </c>
      <c r="N53" s="245">
        <f t="shared" si="16"/>
        <v>7.5365141339719992</v>
      </c>
      <c r="O53" s="245">
        <f t="shared" si="16"/>
        <v>7.9358093231760005</v>
      </c>
      <c r="P53" s="245">
        <f t="shared" si="16"/>
        <v>8.32462269062</v>
      </c>
      <c r="Q53" s="245">
        <f t="shared" si="16"/>
        <v>0</v>
      </c>
      <c r="R53" s="245">
        <f t="shared" si="16"/>
        <v>0</v>
      </c>
      <c r="S53" s="245">
        <f t="shared" si="16"/>
        <v>0</v>
      </c>
      <c r="T53" s="245">
        <f t="shared" si="16"/>
        <v>0</v>
      </c>
      <c r="U53" s="245">
        <f t="shared" si="16"/>
        <v>0</v>
      </c>
      <c r="V53" s="245">
        <f t="shared" si="16"/>
        <v>0</v>
      </c>
      <c r="W53" s="245">
        <f t="shared" si="16"/>
        <v>0</v>
      </c>
      <c r="X53" s="245">
        <f t="shared" si="16"/>
        <v>0</v>
      </c>
      <c r="Y53" s="245">
        <f t="shared" si="16"/>
        <v>0</v>
      </c>
      <c r="Z53" s="246">
        <f t="shared" si="16"/>
        <v>26.375092206255001</v>
      </c>
      <c r="AA53" s="246">
        <f t="shared" si="16"/>
        <v>23.796946147768001</v>
      </c>
      <c r="AB53" s="249">
        <f t="shared" si="9"/>
        <v>-9.7749271863230791E-2</v>
      </c>
    </row>
    <row r="54" spans="1:29">
      <c r="A54" s="243" t="str">
        <f t="shared" ref="A54:AA54" si="19">A24</f>
        <v>Plomo</v>
      </c>
      <c r="B54" s="243" t="str">
        <f t="shared" si="19"/>
        <v>Valor</v>
      </c>
      <c r="C54" s="243" t="str">
        <f t="shared" si="19"/>
        <v>(US$MM)</v>
      </c>
      <c r="D54" s="244">
        <f t="shared" ref="D54:E54" si="20">D24</f>
        <v>1032.9556582579808</v>
      </c>
      <c r="E54" s="244">
        <f t="shared" si="20"/>
        <v>1135.6647188208904</v>
      </c>
      <c r="F54" s="244">
        <f t="shared" si="19"/>
        <v>1115.8065786717914</v>
      </c>
      <c r="G54" s="244">
        <f t="shared" si="19"/>
        <v>1578.8088600715344</v>
      </c>
      <c r="H54" s="244">
        <f t="shared" si="19"/>
        <v>2426.735952128829</v>
      </c>
      <c r="I54" s="244">
        <f t="shared" si="19"/>
        <v>2575.3341204307012</v>
      </c>
      <c r="J54" s="244">
        <f t="shared" si="19"/>
        <v>1776.0595258877415</v>
      </c>
      <c r="K54" s="244">
        <f t="shared" si="19"/>
        <v>1522.5135211197114</v>
      </c>
      <c r="L54" s="244">
        <f t="shared" si="19"/>
        <v>1541.6724338588276</v>
      </c>
      <c r="M54" s="244">
        <f t="shared" ref="M54" si="21">M24</f>
        <v>1655.9292457940699</v>
      </c>
      <c r="N54" s="245">
        <f t="shared" si="19"/>
        <v>99.396984291575095</v>
      </c>
      <c r="O54" s="245">
        <f t="shared" si="19"/>
        <v>156.49080292927403</v>
      </c>
      <c r="P54" s="245">
        <f t="shared" si="19"/>
        <v>79.020242344137259</v>
      </c>
      <c r="Q54" s="245">
        <f t="shared" si="19"/>
        <v>0</v>
      </c>
      <c r="R54" s="245">
        <f t="shared" si="19"/>
        <v>0</v>
      </c>
      <c r="S54" s="245">
        <f t="shared" si="19"/>
        <v>0</v>
      </c>
      <c r="T54" s="245">
        <f t="shared" si="19"/>
        <v>0</v>
      </c>
      <c r="U54" s="245">
        <f t="shared" si="19"/>
        <v>0</v>
      </c>
      <c r="V54" s="245">
        <f t="shared" si="19"/>
        <v>0</v>
      </c>
      <c r="W54" s="245">
        <f t="shared" si="19"/>
        <v>0</v>
      </c>
      <c r="X54" s="245">
        <f t="shared" si="19"/>
        <v>0</v>
      </c>
      <c r="Y54" s="245">
        <f t="shared" si="19"/>
        <v>0</v>
      </c>
      <c r="Z54" s="246">
        <f t="shared" si="19"/>
        <v>353.92696184644814</v>
      </c>
      <c r="AA54" s="246">
        <f t="shared" si="19"/>
        <v>334.90802956498641</v>
      </c>
      <c r="AB54" s="249">
        <f t="shared" si="9"/>
        <v>-5.3736884531880191E-2</v>
      </c>
    </row>
    <row r="55" spans="1:29">
      <c r="A55" s="243" t="str">
        <f t="shared" ref="A55:AA55" si="22">A32</f>
        <v>Estaño</v>
      </c>
      <c r="B55" s="243" t="str">
        <f t="shared" si="22"/>
        <v>Valor</v>
      </c>
      <c r="C55" s="243" t="str">
        <f t="shared" si="22"/>
        <v>(US$MM)</v>
      </c>
      <c r="D55" s="244">
        <f t="shared" ref="D55:E55" si="23">D32</f>
        <v>595.09949347270776</v>
      </c>
      <c r="E55" s="244">
        <f t="shared" si="23"/>
        <v>662.76975228062634</v>
      </c>
      <c r="F55" s="244">
        <f t="shared" si="22"/>
        <v>591.21348325130839</v>
      </c>
      <c r="G55" s="244">
        <f t="shared" si="22"/>
        <v>841.62143845581932</v>
      </c>
      <c r="H55" s="244">
        <f t="shared" si="22"/>
        <v>775.59494796720764</v>
      </c>
      <c r="I55" s="244">
        <f t="shared" si="22"/>
        <v>558.25922602627895</v>
      </c>
      <c r="J55" s="244">
        <f t="shared" si="22"/>
        <v>527.71235375709966</v>
      </c>
      <c r="K55" s="244">
        <f t="shared" si="22"/>
        <v>539.5582164992918</v>
      </c>
      <c r="L55" s="244">
        <f t="shared" si="22"/>
        <v>341.685340655076</v>
      </c>
      <c r="M55" s="244">
        <f t="shared" ref="M55" si="24">M32</f>
        <v>343.75473560885104</v>
      </c>
      <c r="N55" s="245">
        <f t="shared" si="22"/>
        <v>66.769689257564991</v>
      </c>
      <c r="O55" s="245">
        <f t="shared" si="22"/>
        <v>32.514615547974003</v>
      </c>
      <c r="P55" s="245">
        <f t="shared" si="22"/>
        <v>54.897099422973</v>
      </c>
      <c r="Q55" s="245">
        <f t="shared" si="22"/>
        <v>0</v>
      </c>
      <c r="R55" s="245">
        <f t="shared" si="22"/>
        <v>0</v>
      </c>
      <c r="S55" s="245">
        <f t="shared" si="22"/>
        <v>0</v>
      </c>
      <c r="T55" s="245">
        <f t="shared" si="22"/>
        <v>0</v>
      </c>
      <c r="U55" s="245">
        <f t="shared" si="22"/>
        <v>0</v>
      </c>
      <c r="V55" s="245">
        <f t="shared" si="22"/>
        <v>0</v>
      </c>
      <c r="W55" s="245">
        <f t="shared" si="22"/>
        <v>0</v>
      </c>
      <c r="X55" s="245">
        <f t="shared" si="22"/>
        <v>0</v>
      </c>
      <c r="Y55" s="245">
        <f t="shared" si="22"/>
        <v>0</v>
      </c>
      <c r="Z55" s="246">
        <f t="shared" si="22"/>
        <v>70.258313723878999</v>
      </c>
      <c r="AA55" s="246">
        <f t="shared" si="22"/>
        <v>154.18140422851201</v>
      </c>
      <c r="AB55" s="249">
        <f t="shared" si="9"/>
        <v>1.1944933781709839</v>
      </c>
    </row>
    <row r="56" spans="1:29">
      <c r="A56" s="243" t="str">
        <f>A28</f>
        <v>Hierro</v>
      </c>
      <c r="B56" s="243" t="str">
        <f t="shared" ref="B56:AA56" si="25">B28</f>
        <v>Valor</v>
      </c>
      <c r="C56" s="243" t="str">
        <f t="shared" si="25"/>
        <v>(US$MM)</v>
      </c>
      <c r="D56" s="244">
        <f>D28</f>
        <v>285.41642566243098</v>
      </c>
      <c r="E56" s="244">
        <f>E28</f>
        <v>385.08789704585701</v>
      </c>
      <c r="F56" s="244">
        <f>F28</f>
        <v>297.68320635250899</v>
      </c>
      <c r="G56" s="244">
        <f t="shared" si="25"/>
        <v>523.27650585695505</v>
      </c>
      <c r="H56" s="244">
        <f t="shared" si="25"/>
        <v>1030.072291616872</v>
      </c>
      <c r="I56" s="244">
        <f t="shared" si="25"/>
        <v>844.8284799506572</v>
      </c>
      <c r="J56" s="244">
        <f t="shared" si="25"/>
        <v>856.80847467289618</v>
      </c>
      <c r="K56" s="244">
        <f t="shared" si="25"/>
        <v>646.70480025804579</v>
      </c>
      <c r="L56" s="244">
        <f t="shared" ref="L56:M56" si="26">L28</f>
        <v>350.00259655641497</v>
      </c>
      <c r="M56" s="244">
        <f t="shared" si="26"/>
        <v>344.26226528241506</v>
      </c>
      <c r="N56" s="245">
        <f t="shared" si="25"/>
        <v>27.353139893823393</v>
      </c>
      <c r="O56" s="245">
        <f t="shared" si="25"/>
        <v>27.810328453472</v>
      </c>
      <c r="P56" s="245">
        <f t="shared" si="25"/>
        <v>35.308213501116761</v>
      </c>
      <c r="Q56" s="245">
        <f t="shared" si="25"/>
        <v>0</v>
      </c>
      <c r="R56" s="245">
        <f t="shared" si="25"/>
        <v>0</v>
      </c>
      <c r="S56" s="245">
        <f t="shared" si="25"/>
        <v>0</v>
      </c>
      <c r="T56" s="245">
        <f t="shared" si="25"/>
        <v>0</v>
      </c>
      <c r="U56" s="245">
        <f t="shared" si="25"/>
        <v>0</v>
      </c>
      <c r="V56" s="245">
        <f t="shared" si="25"/>
        <v>0</v>
      </c>
      <c r="W56" s="245">
        <f t="shared" si="25"/>
        <v>0</v>
      </c>
      <c r="X56" s="245">
        <f t="shared" si="25"/>
        <v>0</v>
      </c>
      <c r="Y56" s="245">
        <f t="shared" si="25"/>
        <v>0</v>
      </c>
      <c r="Z56" s="246">
        <f t="shared" si="25"/>
        <v>71.297527080395923</v>
      </c>
      <c r="AA56" s="246">
        <f t="shared" si="25"/>
        <v>90.471681848412146</v>
      </c>
      <c r="AB56" s="249">
        <f t="shared" si="9"/>
        <v>0.26893155419535408</v>
      </c>
    </row>
    <row r="57" spans="1:29">
      <c r="A57" s="243" t="str">
        <f>A36</f>
        <v>Molibdeno</v>
      </c>
      <c r="B57" s="243" t="str">
        <f t="shared" ref="B57:AA57" si="27">B36</f>
        <v>Valor</v>
      </c>
      <c r="C57" s="243" t="str">
        <f t="shared" si="27"/>
        <v>(US$MM)</v>
      </c>
      <c r="D57" s="244">
        <f t="shared" ref="D57:E57" si="28">D36</f>
        <v>991.16764057624141</v>
      </c>
      <c r="E57" s="244">
        <f t="shared" si="28"/>
        <v>943.09487178572181</v>
      </c>
      <c r="F57" s="244">
        <f t="shared" si="27"/>
        <v>275.96500791530212</v>
      </c>
      <c r="G57" s="244">
        <f t="shared" si="27"/>
        <v>491.9356947636328</v>
      </c>
      <c r="H57" s="244">
        <f t="shared" si="27"/>
        <v>563.68947023926762</v>
      </c>
      <c r="I57" s="244">
        <f t="shared" si="27"/>
        <v>428.26749069318208</v>
      </c>
      <c r="J57" s="244">
        <f t="shared" si="27"/>
        <v>355.52074602744028</v>
      </c>
      <c r="K57" s="244">
        <f t="shared" si="27"/>
        <v>360.16193124196127</v>
      </c>
      <c r="L57" s="244">
        <f t="shared" ref="L57:M57" si="29">L36</f>
        <v>219.63469285986599</v>
      </c>
      <c r="M57" s="244">
        <f t="shared" si="29"/>
        <v>272.67154160154439</v>
      </c>
      <c r="N57" s="245">
        <f t="shared" si="27"/>
        <v>19.184964352212127</v>
      </c>
      <c r="O57" s="245">
        <f t="shared" si="27"/>
        <v>23.393300919776348</v>
      </c>
      <c r="P57" s="245">
        <f t="shared" si="27"/>
        <v>27.712650396795379</v>
      </c>
      <c r="Q57" s="245">
        <f t="shared" si="27"/>
        <v>0</v>
      </c>
      <c r="R57" s="245">
        <f t="shared" si="27"/>
        <v>0</v>
      </c>
      <c r="S57" s="245">
        <f t="shared" si="27"/>
        <v>0</v>
      </c>
      <c r="T57" s="245">
        <f t="shared" si="27"/>
        <v>0</v>
      </c>
      <c r="U57" s="245">
        <f t="shared" si="27"/>
        <v>0</v>
      </c>
      <c r="V57" s="245">
        <f t="shared" si="27"/>
        <v>0</v>
      </c>
      <c r="W57" s="245">
        <f t="shared" si="27"/>
        <v>0</v>
      </c>
      <c r="X57" s="245">
        <f t="shared" si="27"/>
        <v>0</v>
      </c>
      <c r="Y57" s="245">
        <f t="shared" si="27"/>
        <v>0</v>
      </c>
      <c r="Z57" s="246">
        <f t="shared" si="27"/>
        <v>43.930648168947563</v>
      </c>
      <c r="AA57" s="246">
        <f t="shared" si="27"/>
        <v>70.290915668783853</v>
      </c>
      <c r="AB57" s="249">
        <f t="shared" si="9"/>
        <v>0.60004276282153923</v>
      </c>
    </row>
    <row r="58" spans="1:29">
      <c r="A58" s="243" t="str">
        <f>A40</f>
        <v>Otros</v>
      </c>
      <c r="B58" s="243" t="str">
        <f t="shared" ref="B58:AA58" si="30">B40</f>
        <v>Valor</v>
      </c>
      <c r="C58" s="243" t="str">
        <f t="shared" si="30"/>
        <v>(US$MM)</v>
      </c>
      <c r="D58" s="244">
        <f t="shared" ref="D58:E58" si="31">D40</f>
        <v>50.600247423758653</v>
      </c>
      <c r="E58" s="244">
        <f t="shared" si="31"/>
        <v>47.623667214277958</v>
      </c>
      <c r="F58" s="244">
        <f t="shared" si="30"/>
        <v>27.489491084697907</v>
      </c>
      <c r="G58" s="244">
        <f t="shared" si="30"/>
        <v>29.128838236367177</v>
      </c>
      <c r="H58" s="244">
        <f t="shared" si="30"/>
        <v>31.208521760732285</v>
      </c>
      <c r="I58" s="244">
        <f t="shared" si="30"/>
        <v>21.6183863068179</v>
      </c>
      <c r="J58" s="244">
        <f t="shared" si="30"/>
        <v>23.221805972559654</v>
      </c>
      <c r="K58" s="244">
        <f t="shared" si="30"/>
        <v>37.872977758038765</v>
      </c>
      <c r="L58" s="244">
        <f t="shared" ref="L58:M58" si="32">L40</f>
        <v>26.956227140133979</v>
      </c>
      <c r="M58" s="244">
        <f t="shared" si="32"/>
        <v>14.999100398455615</v>
      </c>
      <c r="N58" s="245">
        <f t="shared" si="30"/>
        <v>3.6352076477878725</v>
      </c>
      <c r="O58" s="245">
        <f t="shared" si="30"/>
        <v>3.4352120802236534</v>
      </c>
      <c r="P58" s="245">
        <f t="shared" si="30"/>
        <v>2.2047326032046222</v>
      </c>
      <c r="Q58" s="245">
        <f t="shared" si="30"/>
        <v>0</v>
      </c>
      <c r="R58" s="245">
        <f t="shared" si="30"/>
        <v>0</v>
      </c>
      <c r="S58" s="245">
        <f t="shared" si="30"/>
        <v>0</v>
      </c>
      <c r="T58" s="245">
        <f t="shared" si="30"/>
        <v>0</v>
      </c>
      <c r="U58" s="245">
        <f t="shared" si="30"/>
        <v>0</v>
      </c>
      <c r="V58" s="245">
        <f t="shared" si="30"/>
        <v>0</v>
      </c>
      <c r="W58" s="245">
        <f t="shared" si="30"/>
        <v>0</v>
      </c>
      <c r="X58" s="245">
        <f t="shared" si="30"/>
        <v>0</v>
      </c>
      <c r="Y58" s="245">
        <f t="shared" si="30"/>
        <v>0</v>
      </c>
      <c r="Z58" s="246">
        <f t="shared" si="30"/>
        <v>1.7058428310524398</v>
      </c>
      <c r="AA58" s="246">
        <f t="shared" si="30"/>
        <v>9.2751523312161481</v>
      </c>
      <c r="AB58" s="249">
        <f t="shared" si="9"/>
        <v>4.4372842341481915</v>
      </c>
    </row>
    <row r="59" spans="1:29">
      <c r="D59" s="247">
        <f>SUM(D50:D58)</f>
        <v>17439.352246936651</v>
      </c>
      <c r="E59" s="247">
        <f>SUM(E50:E58)</f>
        <v>18100.9679482994</v>
      </c>
      <c r="F59" s="247">
        <f>SUM(F50:F58)</f>
        <v>16481.813528277929</v>
      </c>
      <c r="G59" s="247">
        <f t="shared" ref="G59:T59" si="33">SUM(G50:G58)</f>
        <v>21902.831565768924</v>
      </c>
      <c r="H59" s="247">
        <f t="shared" si="33"/>
        <v>27525.674834212732</v>
      </c>
      <c r="I59" s="247">
        <f t="shared" si="33"/>
        <v>27466.673086776646</v>
      </c>
      <c r="J59" s="247">
        <f t="shared" si="33"/>
        <v>23789.445416193052</v>
      </c>
      <c r="K59" s="247">
        <f t="shared" si="33"/>
        <v>20545.413928408008</v>
      </c>
      <c r="L59" s="247">
        <f t="shared" si="33"/>
        <v>18836.319853859728</v>
      </c>
      <c r="M59" s="247">
        <f t="shared" ref="M59" si="34">SUM(M50:M58)</f>
        <v>21652.039016532101</v>
      </c>
      <c r="N59" s="248">
        <f t="shared" si="33"/>
        <v>1800.3629075433687</v>
      </c>
      <c r="O59" s="248">
        <f t="shared" si="33"/>
        <v>2169.4921245278219</v>
      </c>
      <c r="P59" s="248">
        <f t="shared" si="33"/>
        <v>1969.64869364993</v>
      </c>
      <c r="Q59" s="248">
        <f t="shared" si="33"/>
        <v>0</v>
      </c>
      <c r="R59" s="248">
        <f t="shared" si="33"/>
        <v>0</v>
      </c>
      <c r="S59" s="248">
        <f t="shared" si="33"/>
        <v>0</v>
      </c>
      <c r="T59" s="248">
        <f t="shared" si="33"/>
        <v>0</v>
      </c>
      <c r="U59" s="248">
        <f>SUM(U50:U58)</f>
        <v>0</v>
      </c>
      <c r="V59" s="248">
        <f>SUM(V50:V58)</f>
        <v>0</v>
      </c>
      <c r="W59" s="248">
        <f>SUM(W50:W58)</f>
        <v>0</v>
      </c>
      <c r="X59" s="248">
        <f>SUM(X50:X58)</f>
        <v>0</v>
      </c>
      <c r="Y59" s="248">
        <f>SUM(Y50:Y58)</f>
        <v>0</v>
      </c>
      <c r="Z59" s="248">
        <f t="shared" ref="Z59:AA59" si="35">SUM(Z50:Z58)</f>
        <v>4441.0986062019138</v>
      </c>
      <c r="AA59" s="248">
        <f t="shared" si="35"/>
        <v>5939.5037257211206</v>
      </c>
      <c r="AB59" s="339">
        <f t="shared" si="9"/>
        <v>0.33739514754901223</v>
      </c>
    </row>
    <row r="62" spans="1:29">
      <c r="A62" s="243" t="s">
        <v>9</v>
      </c>
      <c r="B62" s="243" t="str">
        <f t="shared" ref="B62:AA62" si="36">B9</f>
        <v>Cantidad</v>
      </c>
      <c r="C62" s="243" t="str">
        <f t="shared" si="36"/>
        <v>(Miles Tm)</v>
      </c>
      <c r="D62" s="244">
        <f t="shared" ref="D62:E62" si="37">D9</f>
        <v>1121.9424399999998</v>
      </c>
      <c r="E62" s="244">
        <f t="shared" si="37"/>
        <v>1243.0921780000001</v>
      </c>
      <c r="F62" s="244">
        <f t="shared" si="36"/>
        <v>1246.1711079999998</v>
      </c>
      <c r="G62" s="244">
        <f t="shared" si="36"/>
        <v>1256.1313640000003</v>
      </c>
      <c r="H62" s="244">
        <f t="shared" si="36"/>
        <v>1262.237985</v>
      </c>
      <c r="I62" s="244">
        <f t="shared" si="36"/>
        <v>1405.5533140000002</v>
      </c>
      <c r="J62" s="244">
        <f t="shared" si="36"/>
        <v>1403.9670750000002</v>
      </c>
      <c r="K62" s="244">
        <f t="shared" si="36"/>
        <v>1402.417778</v>
      </c>
      <c r="L62" s="244">
        <f t="shared" si="36"/>
        <v>1751.5973160000001</v>
      </c>
      <c r="M62" s="244">
        <f t="shared" ref="M62" si="38">M9</f>
        <v>2492.4748870000003</v>
      </c>
      <c r="N62" s="245">
        <f t="shared" si="36"/>
        <v>187.35705999999999</v>
      </c>
      <c r="O62" s="245">
        <f t="shared" si="36"/>
        <v>220.39220299999999</v>
      </c>
      <c r="P62" s="245">
        <f t="shared" si="36"/>
        <v>192.46098599999999</v>
      </c>
      <c r="Q62" s="245">
        <f t="shared" si="36"/>
        <v>0</v>
      </c>
      <c r="R62" s="245">
        <f t="shared" si="36"/>
        <v>0</v>
      </c>
      <c r="S62" s="245">
        <f t="shared" si="36"/>
        <v>0</v>
      </c>
      <c r="T62" s="245">
        <f t="shared" si="36"/>
        <v>0</v>
      </c>
      <c r="U62" s="245">
        <f t="shared" si="36"/>
        <v>0</v>
      </c>
      <c r="V62" s="245">
        <f t="shared" si="36"/>
        <v>0</v>
      </c>
      <c r="W62" s="245">
        <f t="shared" si="36"/>
        <v>0</v>
      </c>
      <c r="X62" s="245">
        <f t="shared" si="36"/>
        <v>0</v>
      </c>
      <c r="Y62" s="245">
        <f t="shared" si="36"/>
        <v>0</v>
      </c>
      <c r="Z62" s="246">
        <f t="shared" si="36"/>
        <v>495.72486200000003</v>
      </c>
      <c r="AA62" s="246">
        <f t="shared" si="36"/>
        <v>600.21024899999998</v>
      </c>
      <c r="AB62" s="249">
        <f t="shared" ref="AB62:AB69" si="39">AA62/Z62-1</f>
        <v>0.21077294081731957</v>
      </c>
    </row>
    <row r="63" spans="1:29">
      <c r="A63" s="243" t="s">
        <v>16</v>
      </c>
      <c r="B63" s="243" t="str">
        <f t="shared" ref="B63:AA63" si="40">B13</f>
        <v>Cantidad</v>
      </c>
      <c r="C63" s="243" t="str">
        <f t="shared" si="40"/>
        <v>(Miles Oz. Tr.)</v>
      </c>
      <c r="D63" s="244">
        <f t="shared" ref="D63:E63" si="41">D13</f>
        <v>5967.3943619999991</v>
      </c>
      <c r="E63" s="244">
        <f t="shared" si="41"/>
        <v>6417.683814</v>
      </c>
      <c r="F63" s="244">
        <f t="shared" si="40"/>
        <v>6972.1969499999996</v>
      </c>
      <c r="G63" s="244">
        <f t="shared" si="40"/>
        <v>6334.5532089999997</v>
      </c>
      <c r="H63" s="244">
        <f t="shared" si="40"/>
        <v>6492.2497979999989</v>
      </c>
      <c r="I63" s="244">
        <f t="shared" si="40"/>
        <v>6427.0524130000013</v>
      </c>
      <c r="J63" s="244">
        <f t="shared" si="40"/>
        <v>6047.3659180000004</v>
      </c>
      <c r="K63" s="244">
        <f t="shared" si="40"/>
        <v>5323.3804000000009</v>
      </c>
      <c r="L63" s="244">
        <f t="shared" si="40"/>
        <v>5641.7128549999998</v>
      </c>
      <c r="M63" s="244">
        <f t="shared" ref="M63" si="42">M13</f>
        <v>5810.3506559999996</v>
      </c>
      <c r="N63" s="245">
        <f t="shared" si="40"/>
        <v>468.723795</v>
      </c>
      <c r="O63" s="245">
        <f t="shared" si="40"/>
        <v>464.88693699999999</v>
      </c>
      <c r="P63" s="245">
        <f t="shared" si="40"/>
        <v>464.59994599999999</v>
      </c>
      <c r="Q63" s="245">
        <f t="shared" si="40"/>
        <v>0</v>
      </c>
      <c r="R63" s="245">
        <f t="shared" si="40"/>
        <v>0</v>
      </c>
      <c r="S63" s="245">
        <f t="shared" si="40"/>
        <v>0</v>
      </c>
      <c r="T63" s="245">
        <f t="shared" si="40"/>
        <v>0</v>
      </c>
      <c r="U63" s="245">
        <f t="shared" si="40"/>
        <v>0</v>
      </c>
      <c r="V63" s="245">
        <f t="shared" si="40"/>
        <v>0</v>
      </c>
      <c r="W63" s="245">
        <f t="shared" si="40"/>
        <v>0</v>
      </c>
      <c r="X63" s="245">
        <f t="shared" si="40"/>
        <v>0</v>
      </c>
      <c r="Y63" s="245">
        <f t="shared" si="40"/>
        <v>0</v>
      </c>
      <c r="Z63" s="246">
        <f t="shared" si="40"/>
        <v>1393.630713</v>
      </c>
      <c r="AA63" s="246">
        <f t="shared" si="40"/>
        <v>1398.2106779999999</v>
      </c>
      <c r="AB63" s="249">
        <f t="shared" si="39"/>
        <v>3.2863548121302433E-3</v>
      </c>
    </row>
    <row r="64" spans="1:29">
      <c r="A64" s="243" t="s">
        <v>19</v>
      </c>
      <c r="B64" s="243" t="str">
        <f t="shared" ref="B64:AA64" si="43">B17</f>
        <v>Cantidad</v>
      </c>
      <c r="C64" s="243" t="str">
        <f t="shared" si="43"/>
        <v>(Miles Tm.)</v>
      </c>
      <c r="D64" s="244">
        <f t="shared" ref="D64:E64" si="44">D17</f>
        <v>1272.656301</v>
      </c>
      <c r="E64" s="244">
        <f t="shared" si="44"/>
        <v>1457.1284639999999</v>
      </c>
      <c r="F64" s="244">
        <f t="shared" si="43"/>
        <v>1372.5174649999999</v>
      </c>
      <c r="G64" s="244">
        <f t="shared" si="43"/>
        <v>1314.0726309999998</v>
      </c>
      <c r="H64" s="244">
        <f t="shared" si="43"/>
        <v>1007.2882920000002</v>
      </c>
      <c r="I64" s="244">
        <f t="shared" si="43"/>
        <v>1016.2970770000001</v>
      </c>
      <c r="J64" s="244">
        <f t="shared" si="43"/>
        <v>1079.006396</v>
      </c>
      <c r="K64" s="244">
        <f t="shared" si="43"/>
        <v>1149.2442489999999</v>
      </c>
      <c r="L64" s="244">
        <f t="shared" si="43"/>
        <v>1217.306257</v>
      </c>
      <c r="M64" s="244">
        <f t="shared" ref="M64" si="45">M17</f>
        <v>1113.5895599999999</v>
      </c>
      <c r="N64" s="245">
        <f t="shared" si="43"/>
        <v>91.795159999999996</v>
      </c>
      <c r="O64" s="245">
        <f t="shared" si="43"/>
        <v>110.88611800000001</v>
      </c>
      <c r="P64" s="245">
        <f t="shared" si="43"/>
        <v>95.907124999999994</v>
      </c>
      <c r="Q64" s="245">
        <f t="shared" si="43"/>
        <v>0</v>
      </c>
      <c r="R64" s="245">
        <f t="shared" si="43"/>
        <v>0</v>
      </c>
      <c r="S64" s="245">
        <f t="shared" si="43"/>
        <v>0</v>
      </c>
      <c r="T64" s="245">
        <f t="shared" si="43"/>
        <v>0</v>
      </c>
      <c r="U64" s="245">
        <f t="shared" si="43"/>
        <v>0</v>
      </c>
      <c r="V64" s="245">
        <f t="shared" si="43"/>
        <v>0</v>
      </c>
      <c r="W64" s="245">
        <f t="shared" si="43"/>
        <v>0</v>
      </c>
      <c r="X64" s="245">
        <f t="shared" si="43"/>
        <v>0</v>
      </c>
      <c r="Y64" s="245">
        <f t="shared" si="43"/>
        <v>0</v>
      </c>
      <c r="Z64" s="246">
        <f t="shared" si="43"/>
        <v>275.34888599999999</v>
      </c>
      <c r="AA64" s="246">
        <f t="shared" si="43"/>
        <v>298.58840300000003</v>
      </c>
      <c r="AB64" s="249">
        <f t="shared" si="39"/>
        <v>8.4400257933129996E-2</v>
      </c>
    </row>
    <row r="65" spans="1:28">
      <c r="A65" s="243" t="s">
        <v>22</v>
      </c>
      <c r="B65" s="243" t="str">
        <f t="shared" ref="B65:AA65" si="46">B21</f>
        <v>Cantidad</v>
      </c>
      <c r="C65" s="243" t="str">
        <f t="shared" si="46"/>
        <v>(Millones Oz. Tr.)</v>
      </c>
      <c r="D65" s="244">
        <f t="shared" ref="D65:E65" si="47">D21</f>
        <v>40.359925000000004</v>
      </c>
      <c r="E65" s="244">
        <f t="shared" si="47"/>
        <v>39.690534</v>
      </c>
      <c r="F65" s="244">
        <f t="shared" si="46"/>
        <v>16.249386999999999</v>
      </c>
      <c r="G65" s="244">
        <f t="shared" si="46"/>
        <v>6.1603579999999996</v>
      </c>
      <c r="H65" s="244">
        <f t="shared" si="46"/>
        <v>6.5176329999999991</v>
      </c>
      <c r="I65" s="244">
        <f t="shared" si="46"/>
        <v>6.9355449999999994</v>
      </c>
      <c r="J65" s="244">
        <f t="shared" si="46"/>
        <v>21.204193999999998</v>
      </c>
      <c r="K65" s="244">
        <f t="shared" si="46"/>
        <v>17.144968000000002</v>
      </c>
      <c r="L65" s="244">
        <f t="shared" si="46"/>
        <v>8.9059539999999995</v>
      </c>
      <c r="M65" s="244">
        <f t="shared" ref="M65" si="48">M21</f>
        <v>7.1238969999999986</v>
      </c>
      <c r="N65" s="245">
        <f t="shared" si="46"/>
        <v>0.44813199999999997</v>
      </c>
      <c r="O65" s="245">
        <f t="shared" si="46"/>
        <v>0.46284199999999998</v>
      </c>
      <c r="P65" s="245">
        <f t="shared" si="46"/>
        <v>0.47302</v>
      </c>
      <c r="Q65" s="245">
        <f t="shared" si="46"/>
        <v>0</v>
      </c>
      <c r="R65" s="245">
        <f t="shared" si="46"/>
        <v>0</v>
      </c>
      <c r="S65" s="245">
        <f t="shared" si="46"/>
        <v>0</v>
      </c>
      <c r="T65" s="245">
        <f t="shared" si="46"/>
        <v>0</v>
      </c>
      <c r="U65" s="245">
        <f t="shared" si="46"/>
        <v>0</v>
      </c>
      <c r="V65" s="245">
        <f t="shared" si="46"/>
        <v>0</v>
      </c>
      <c r="W65" s="245">
        <f t="shared" si="46"/>
        <v>0</v>
      </c>
      <c r="X65" s="245">
        <f t="shared" si="46"/>
        <v>0</v>
      </c>
      <c r="Y65" s="245">
        <f t="shared" si="46"/>
        <v>0</v>
      </c>
      <c r="Z65" s="246">
        <f t="shared" si="46"/>
        <v>1.8124400000000001</v>
      </c>
      <c r="AA65" s="246">
        <f t="shared" si="46"/>
        <v>1.3839939999999999</v>
      </c>
      <c r="AB65" s="249">
        <f t="shared" si="39"/>
        <v>-0.23639182538456449</v>
      </c>
    </row>
    <row r="66" spans="1:28">
      <c r="A66" s="243" t="s">
        <v>25</v>
      </c>
      <c r="B66" s="243" t="str">
        <f t="shared" ref="B66:AA66" si="49">B25</f>
        <v>Cantidad</v>
      </c>
      <c r="C66" s="243" t="str">
        <f t="shared" si="49"/>
        <v>(Miles Tm.)</v>
      </c>
      <c r="D66" s="244">
        <f t="shared" ref="D66:E66" si="50">D25</f>
        <v>416.63830099999996</v>
      </c>
      <c r="E66" s="244">
        <f t="shared" si="50"/>
        <v>524.99695399999996</v>
      </c>
      <c r="F66" s="244">
        <f t="shared" si="49"/>
        <v>681.50997000000007</v>
      </c>
      <c r="G66" s="244">
        <f t="shared" si="49"/>
        <v>769.96655399999997</v>
      </c>
      <c r="H66" s="244">
        <f t="shared" si="49"/>
        <v>987.66261499999996</v>
      </c>
      <c r="I66" s="244">
        <f t="shared" si="49"/>
        <v>1169.6602899999998</v>
      </c>
      <c r="J66" s="244">
        <f t="shared" si="49"/>
        <v>855.15530999999999</v>
      </c>
      <c r="K66" s="244">
        <f t="shared" si="49"/>
        <v>771.45482600000003</v>
      </c>
      <c r="L66" s="244">
        <f t="shared" si="49"/>
        <v>934.00496799999996</v>
      </c>
      <c r="M66" s="244">
        <f t="shared" ref="M66" si="51">M25</f>
        <v>941.4404310000001</v>
      </c>
      <c r="N66" s="245">
        <f t="shared" si="49"/>
        <v>51.955984000000001</v>
      </c>
      <c r="O66" s="245">
        <f t="shared" si="49"/>
        <v>78.213014999999999</v>
      </c>
      <c r="P66" s="245">
        <f t="shared" si="49"/>
        <v>40.205662000000004</v>
      </c>
      <c r="Q66" s="245">
        <f t="shared" si="49"/>
        <v>0</v>
      </c>
      <c r="R66" s="245">
        <f t="shared" si="49"/>
        <v>0</v>
      </c>
      <c r="S66" s="245">
        <f t="shared" si="49"/>
        <v>0</v>
      </c>
      <c r="T66" s="245">
        <f t="shared" si="49"/>
        <v>0</v>
      </c>
      <c r="U66" s="245">
        <f t="shared" si="49"/>
        <v>0</v>
      </c>
      <c r="V66" s="245">
        <f t="shared" si="49"/>
        <v>0</v>
      </c>
      <c r="W66" s="245">
        <f t="shared" si="49"/>
        <v>0</v>
      </c>
      <c r="X66" s="245">
        <f t="shared" si="49"/>
        <v>0</v>
      </c>
      <c r="Y66" s="245">
        <f t="shared" si="49"/>
        <v>0</v>
      </c>
      <c r="Z66" s="246">
        <f t="shared" si="49"/>
        <v>216.31008500000002</v>
      </c>
      <c r="AA66" s="246">
        <f t="shared" si="49"/>
        <v>170.374661</v>
      </c>
      <c r="AB66" s="249">
        <f t="shared" si="39"/>
        <v>-0.21235914173858328</v>
      </c>
    </row>
    <row r="67" spans="1:28">
      <c r="A67" s="243" t="s">
        <v>26</v>
      </c>
      <c r="B67" s="243" t="str">
        <f t="shared" ref="B67:AA67" si="52">B33</f>
        <v>Cantidad</v>
      </c>
      <c r="C67" s="243" t="str">
        <f t="shared" si="52"/>
        <v>(Miles Tm.)</v>
      </c>
      <c r="D67" s="244">
        <f t="shared" ref="D67:E67" si="53">D33</f>
        <v>41.111622999999994</v>
      </c>
      <c r="E67" s="244">
        <f t="shared" si="53"/>
        <v>38.263483999999998</v>
      </c>
      <c r="F67" s="244">
        <f t="shared" si="52"/>
        <v>37.071149999999996</v>
      </c>
      <c r="G67" s="244">
        <f t="shared" si="52"/>
        <v>39.02278900000001</v>
      </c>
      <c r="H67" s="244">
        <f t="shared" si="52"/>
        <v>31.899958000000002</v>
      </c>
      <c r="I67" s="244">
        <f t="shared" si="52"/>
        <v>25.545801000000001</v>
      </c>
      <c r="J67" s="244">
        <f t="shared" si="52"/>
        <v>23.824697999999998</v>
      </c>
      <c r="K67" s="244">
        <f t="shared" si="52"/>
        <v>24.640213999999997</v>
      </c>
      <c r="L67" s="244">
        <f t="shared" si="52"/>
        <v>20.111056000000001</v>
      </c>
      <c r="M67" s="244">
        <f t="shared" ref="M67" si="54">M33</f>
        <v>11.359424000000001</v>
      </c>
      <c r="N67" s="245">
        <f t="shared" si="52"/>
        <v>1.3887149999999999</v>
      </c>
      <c r="O67" s="245">
        <f t="shared" si="52"/>
        <v>0.74816900000000008</v>
      </c>
      <c r="P67" s="245">
        <f t="shared" si="52"/>
        <v>1.328354</v>
      </c>
      <c r="Q67" s="245">
        <f t="shared" si="52"/>
        <v>0</v>
      </c>
      <c r="R67" s="245">
        <f t="shared" si="52"/>
        <v>0</v>
      </c>
      <c r="S67" s="245">
        <f t="shared" si="52"/>
        <v>0</v>
      </c>
      <c r="T67" s="245">
        <f t="shared" si="52"/>
        <v>0</v>
      </c>
      <c r="U67" s="245">
        <f t="shared" si="52"/>
        <v>0</v>
      </c>
      <c r="V67" s="245">
        <f t="shared" si="52"/>
        <v>0</v>
      </c>
      <c r="W67" s="245">
        <f t="shared" si="52"/>
        <v>0</v>
      </c>
      <c r="X67" s="245">
        <f t="shared" si="52"/>
        <v>0</v>
      </c>
      <c r="Y67" s="245">
        <f t="shared" si="52"/>
        <v>0</v>
      </c>
      <c r="Z67" s="246">
        <f t="shared" si="52"/>
        <v>2.8683390000000002</v>
      </c>
      <c r="AA67" s="246">
        <f t="shared" si="52"/>
        <v>3.4652380000000003</v>
      </c>
      <c r="AB67" s="249">
        <f t="shared" si="39"/>
        <v>0.20809918213990741</v>
      </c>
    </row>
    <row r="68" spans="1:28">
      <c r="A68" s="243" t="s">
        <v>27</v>
      </c>
      <c r="B68" s="243" t="str">
        <f t="shared" ref="B68:Y68" si="55">B37</f>
        <v>Cantidad</v>
      </c>
      <c r="C68" s="243" t="str">
        <f t="shared" si="55"/>
        <v>(Miles Tm.)</v>
      </c>
      <c r="D68" s="244">
        <f>D29</f>
        <v>7.1777029999999993</v>
      </c>
      <c r="E68" s="244">
        <f>E29</f>
        <v>6.8411140000000001</v>
      </c>
      <c r="F68" s="244">
        <f>F29</f>
        <v>6.7791249999999996</v>
      </c>
      <c r="G68" s="244">
        <f t="shared" ref="G68:R68" si="56">G29</f>
        <v>7.959607000000001</v>
      </c>
      <c r="H68" s="244">
        <f t="shared" si="56"/>
        <v>9.2557340000000003</v>
      </c>
      <c r="I68" s="244">
        <f t="shared" si="56"/>
        <v>9.7848829999999989</v>
      </c>
      <c r="J68" s="244">
        <f t="shared" si="56"/>
        <v>10.373199999999999</v>
      </c>
      <c r="K68" s="244">
        <f t="shared" si="56"/>
        <v>11.368120999999999</v>
      </c>
      <c r="L68" s="244">
        <f t="shared" si="56"/>
        <v>11.646831000000001</v>
      </c>
      <c r="M68" s="244">
        <f t="shared" ref="M68" si="57">M29</f>
        <v>19.371681000000002</v>
      </c>
      <c r="N68" s="245">
        <f t="shared" si="56"/>
        <v>1.31603</v>
      </c>
      <c r="O68" s="245">
        <f t="shared" si="56"/>
        <v>1.4013199999999999</v>
      </c>
      <c r="P68" s="245">
        <f t="shared" si="56"/>
        <v>1.811407</v>
      </c>
      <c r="Q68" s="245">
        <f t="shared" si="56"/>
        <v>0</v>
      </c>
      <c r="R68" s="245">
        <f t="shared" si="56"/>
        <v>0</v>
      </c>
      <c r="S68" s="245">
        <f t="shared" si="55"/>
        <v>0</v>
      </c>
      <c r="T68" s="245">
        <f t="shared" si="55"/>
        <v>0</v>
      </c>
      <c r="U68" s="245">
        <f t="shared" si="55"/>
        <v>0</v>
      </c>
      <c r="V68" s="245">
        <f t="shared" si="55"/>
        <v>0</v>
      </c>
      <c r="W68" s="245">
        <f t="shared" si="55"/>
        <v>0</v>
      </c>
      <c r="X68" s="245">
        <f t="shared" si="55"/>
        <v>0</v>
      </c>
      <c r="Y68" s="245">
        <f t="shared" si="55"/>
        <v>0</v>
      </c>
      <c r="Z68" s="246">
        <f t="shared" ref="Z68:AA68" si="58">Z29</f>
        <v>4.6769569999999998</v>
      </c>
      <c r="AA68" s="246">
        <f t="shared" si="58"/>
        <v>4.5287569999999997</v>
      </c>
      <c r="AB68" s="249">
        <f t="shared" si="39"/>
        <v>-3.1687270163056946E-2</v>
      </c>
    </row>
    <row r="69" spans="1:28">
      <c r="A69" s="243" t="s">
        <v>29</v>
      </c>
      <c r="B69" s="243" t="str">
        <f t="shared" ref="B69:AA69" si="59">B37</f>
        <v>Cantidad</v>
      </c>
      <c r="C69" s="243" t="str">
        <f t="shared" si="59"/>
        <v>(Miles Tm.)</v>
      </c>
      <c r="D69" s="244">
        <f t="shared" ref="D69:E69" si="60">D37</f>
        <v>16.161707224000001</v>
      </c>
      <c r="E69" s="244">
        <f t="shared" si="60"/>
        <v>18.255964222000003</v>
      </c>
      <c r="F69" s="244">
        <f t="shared" si="59"/>
        <v>12.22908432</v>
      </c>
      <c r="G69" s="244">
        <f t="shared" si="59"/>
        <v>16.693816124000001</v>
      </c>
      <c r="H69" s="244">
        <f t="shared" si="59"/>
        <v>19.451061820000003</v>
      </c>
      <c r="I69" s="244">
        <f t="shared" si="59"/>
        <v>17.877299378000004</v>
      </c>
      <c r="J69" s="244">
        <f t="shared" si="59"/>
        <v>18.448508504000003</v>
      </c>
      <c r="K69" s="244">
        <f t="shared" si="59"/>
        <v>16.477174284000004</v>
      </c>
      <c r="L69" s="244">
        <f t="shared" ref="L69:M69" si="61">L37</f>
        <v>17.754669809999999</v>
      </c>
      <c r="M69" s="244">
        <f t="shared" si="61"/>
        <v>24.406133279999999</v>
      </c>
      <c r="N69" s="245">
        <f t="shared" si="59"/>
        <v>1.5830079720000001</v>
      </c>
      <c r="O69" s="245">
        <f t="shared" si="59"/>
        <v>1.743105474</v>
      </c>
      <c r="P69" s="245">
        <f t="shared" si="59"/>
        <v>1.9565257700000001</v>
      </c>
      <c r="Q69" s="245">
        <f t="shared" si="59"/>
        <v>0</v>
      </c>
      <c r="R69" s="245">
        <f t="shared" si="59"/>
        <v>0</v>
      </c>
      <c r="S69" s="245">
        <f t="shared" si="59"/>
        <v>0</v>
      </c>
      <c r="T69" s="245">
        <f t="shared" si="59"/>
        <v>0</v>
      </c>
      <c r="U69" s="245">
        <f t="shared" si="59"/>
        <v>0</v>
      </c>
      <c r="V69" s="245">
        <f t="shared" si="59"/>
        <v>0</v>
      </c>
      <c r="W69" s="245">
        <f t="shared" si="59"/>
        <v>0</v>
      </c>
      <c r="X69" s="245">
        <f t="shared" si="59"/>
        <v>0</v>
      </c>
      <c r="Y69" s="245">
        <f t="shared" si="59"/>
        <v>0</v>
      </c>
      <c r="Z69" s="246">
        <f t="shared" si="59"/>
        <v>5.0004635960000003</v>
      </c>
      <c r="AA69" s="246">
        <f t="shared" si="59"/>
        <v>5.2826392159999997</v>
      </c>
      <c r="AB69" s="249">
        <f t="shared" si="39"/>
        <v>5.6429891865570125E-2</v>
      </c>
    </row>
    <row r="70" spans="1:28">
      <c r="AB70" s="21"/>
    </row>
    <row r="72" spans="1:28">
      <c r="S72" s="223"/>
      <c r="T72" s="223"/>
      <c r="U72" s="223"/>
      <c r="V72" s="223"/>
      <c r="W72" s="223"/>
      <c r="X72" s="223"/>
      <c r="Y72" s="223"/>
      <c r="Z72" s="223"/>
      <c r="AA72" s="223"/>
      <c r="AB72" s="216"/>
    </row>
    <row r="75" spans="1:28">
      <c r="L75" s="10"/>
      <c r="N75" s="216">
        <v>495.72486200000003</v>
      </c>
      <c r="O75" s="216">
        <v>1393.630713</v>
      </c>
      <c r="P75" s="216">
        <v>275.34888599999999</v>
      </c>
      <c r="Q75" s="216">
        <v>1.8124400000000001</v>
      </c>
      <c r="R75" s="293">
        <v>216.31008500000002</v>
      </c>
      <c r="S75" s="216">
        <v>2.8683390000000002</v>
      </c>
      <c r="T75" s="293">
        <v>4.6769569999999998</v>
      </c>
      <c r="U75" s="293">
        <v>5.0004635960000003</v>
      </c>
      <c r="V75" s="293">
        <v>1.7058428310524398</v>
      </c>
      <c r="W75" s="216">
        <v>4441.0986062019138</v>
      </c>
    </row>
    <row r="76" spans="1:28">
      <c r="L76" s="10"/>
      <c r="N76" s="216">
        <v>600.21024899999998</v>
      </c>
      <c r="O76" s="216">
        <v>1398.2106779999999</v>
      </c>
      <c r="P76" s="216">
        <v>298.58840300000003</v>
      </c>
      <c r="Q76" s="216">
        <v>1.3839939999999999</v>
      </c>
      <c r="R76" s="293">
        <v>170.374661</v>
      </c>
      <c r="S76" s="216">
        <v>3.4652380000000003</v>
      </c>
      <c r="T76" s="293">
        <v>4.5287569999999997</v>
      </c>
      <c r="U76" s="293">
        <v>5.2826392159999997</v>
      </c>
      <c r="V76" s="293">
        <v>9.2751523312161481</v>
      </c>
      <c r="W76" s="216">
        <v>5939.5037257211206</v>
      </c>
    </row>
    <row r="77" spans="1:28">
      <c r="L77" s="10"/>
      <c r="N77" s="175">
        <v>0.21077294081731957</v>
      </c>
      <c r="O77" s="482">
        <v>3.2863548121302433E-3</v>
      </c>
      <c r="P77" s="175">
        <v>8.4400257933129996E-2</v>
      </c>
      <c r="Q77" s="175">
        <v>-0.23639182538456449</v>
      </c>
      <c r="R77" s="175">
        <v>-0.21235914173858328</v>
      </c>
      <c r="S77" s="175">
        <v>0.20809918213990741</v>
      </c>
      <c r="T77" s="175">
        <v>-3.1687270163056946E-2</v>
      </c>
      <c r="U77" s="175">
        <v>5.6429891865570125E-2</v>
      </c>
      <c r="V77" s="175">
        <v>4.4372842341481915</v>
      </c>
      <c r="W77" s="175">
        <v>0.33739514754901223</v>
      </c>
    </row>
    <row r="78" spans="1:28">
      <c r="L78" s="10"/>
      <c r="M78" s="10" t="s">
        <v>367</v>
      </c>
      <c r="N78" s="216">
        <v>187.35705999999999</v>
      </c>
      <c r="O78" s="216">
        <v>468.723795</v>
      </c>
      <c r="P78" s="216">
        <v>91.795159999999996</v>
      </c>
      <c r="Q78" s="293">
        <v>0.44813199999999997</v>
      </c>
      <c r="R78" s="216">
        <v>51.955984000000001</v>
      </c>
      <c r="S78" s="293">
        <v>1.3887149999999999</v>
      </c>
      <c r="T78" s="293">
        <v>1.31603</v>
      </c>
      <c r="U78" s="293">
        <v>1.5830079720000001</v>
      </c>
      <c r="V78" s="293">
        <v>7.9237527490040094E-2</v>
      </c>
      <c r="W78" s="216"/>
    </row>
    <row r="79" spans="1:28">
      <c r="L79" s="10"/>
      <c r="M79" s="10" t="s">
        <v>267</v>
      </c>
      <c r="N79" s="216">
        <v>220.39220299999999</v>
      </c>
      <c r="O79" s="216">
        <v>464.88693699999999</v>
      </c>
      <c r="P79" s="216">
        <v>110.88611800000001</v>
      </c>
      <c r="Q79" s="293">
        <v>0.46284199999999998</v>
      </c>
      <c r="R79" s="216">
        <v>78.213014999999999</v>
      </c>
      <c r="S79" s="293">
        <v>0.74816900000000008</v>
      </c>
      <c r="T79" s="293">
        <v>1.4013199999999999</v>
      </c>
      <c r="U79" s="293">
        <v>1.743105474</v>
      </c>
      <c r="V79" s="293">
        <v>0.84117865291548632</v>
      </c>
      <c r="W79" s="216"/>
    </row>
    <row r="80" spans="1:28">
      <c r="L80" s="10"/>
      <c r="M80" s="10" t="s">
        <v>268</v>
      </c>
      <c r="N80" s="216">
        <v>192.46098599999999</v>
      </c>
      <c r="O80" s="216">
        <v>464.59994599999999</v>
      </c>
      <c r="P80" s="216">
        <v>95.907124999999994</v>
      </c>
      <c r="Q80" s="293">
        <v>0.47302</v>
      </c>
      <c r="R80" s="216">
        <v>40.205662000000004</v>
      </c>
      <c r="S80" s="293">
        <v>1.328354</v>
      </c>
      <c r="T80" s="293">
        <v>1.811407</v>
      </c>
      <c r="U80" s="293">
        <v>1.9565257700000001</v>
      </c>
      <c r="V80" s="293">
        <v>1.3499786607166193</v>
      </c>
      <c r="W80" s="216"/>
    </row>
    <row r="81" spans="12:24">
      <c r="L81" s="10"/>
      <c r="M81" s="10" t="s">
        <v>269</v>
      </c>
      <c r="N81" s="216">
        <v>244.47029599999999</v>
      </c>
      <c r="O81" s="216">
        <v>488.87904099999997</v>
      </c>
      <c r="P81" s="216">
        <v>68.240196999999995</v>
      </c>
      <c r="Q81" s="293">
        <v>0.63417100000000004</v>
      </c>
      <c r="R81" s="216">
        <v>86.437663000000001</v>
      </c>
      <c r="S81" s="293">
        <v>1.681192</v>
      </c>
      <c r="T81" s="293">
        <v>1.8916574960000001</v>
      </c>
      <c r="U81" s="293">
        <v>1.8916574960000001</v>
      </c>
      <c r="V81" s="293">
        <v>0.95595391189221601</v>
      </c>
      <c r="W81" s="216"/>
    </row>
    <row r="82" spans="12:24">
      <c r="L82" s="10"/>
      <c r="M82" s="10" t="s">
        <v>273</v>
      </c>
      <c r="N82" s="216">
        <v>215.415753</v>
      </c>
      <c r="O82" s="216">
        <v>473.34088800000001</v>
      </c>
      <c r="P82" s="216">
        <v>122.477575</v>
      </c>
      <c r="Q82" s="293">
        <v>0.314054</v>
      </c>
      <c r="R82" s="216">
        <v>81.581048999999993</v>
      </c>
      <c r="S82" s="293">
        <v>1.6851210000000001</v>
      </c>
      <c r="T82" s="293">
        <v>2.5201060559999999</v>
      </c>
      <c r="U82" s="293">
        <v>2.5201060559999999</v>
      </c>
      <c r="V82" s="293">
        <v>0.79833190936276566</v>
      </c>
      <c r="W82" s="216"/>
    </row>
    <row r="83" spans="12:24">
      <c r="L83" s="10"/>
      <c r="M83" s="10" t="s">
        <v>283</v>
      </c>
      <c r="N83" s="216">
        <v>192.10266300000001</v>
      </c>
      <c r="O83" s="216">
        <v>526.881483</v>
      </c>
      <c r="P83" s="216">
        <v>83.650807999999998</v>
      </c>
      <c r="Q83" s="293">
        <v>0.90884600000000004</v>
      </c>
      <c r="R83" s="216">
        <v>96.261060000000001</v>
      </c>
      <c r="S83" s="293">
        <v>1.322325</v>
      </c>
      <c r="T83" s="293">
        <v>2.7821373420000004</v>
      </c>
      <c r="U83" s="293">
        <v>2.7821373420000004</v>
      </c>
      <c r="V83" s="293">
        <v>0.84898924231794837</v>
      </c>
      <c r="W83" s="216"/>
    </row>
    <row r="84" spans="12:24">
      <c r="L84" s="10"/>
      <c r="M84" s="10" t="s">
        <v>259</v>
      </c>
      <c r="N84" s="216">
        <v>283.10727700000001</v>
      </c>
      <c r="O84" s="216">
        <v>471.12586399999998</v>
      </c>
      <c r="P84" s="216">
        <v>94.464577000000006</v>
      </c>
      <c r="Q84" s="293">
        <v>0.44889600000000002</v>
      </c>
      <c r="R84" s="216">
        <v>66.428070000000005</v>
      </c>
      <c r="S84" s="293">
        <v>1.9657610000000001</v>
      </c>
      <c r="T84" s="293">
        <v>2.4468293800000001</v>
      </c>
      <c r="U84" s="293">
        <v>2.4468293800000001</v>
      </c>
      <c r="V84" s="293">
        <v>3.9586360546438826</v>
      </c>
      <c r="W84" s="216"/>
    </row>
    <row r="85" spans="12:24">
      <c r="L85" s="10"/>
      <c r="M85" s="10" t="s">
        <v>261</v>
      </c>
      <c r="N85" s="216">
        <v>210.35643199999998</v>
      </c>
      <c r="O85" s="216">
        <v>469.97004700000002</v>
      </c>
      <c r="P85" s="216">
        <v>107.297652</v>
      </c>
      <c r="Q85" s="293">
        <v>0.51993900000000004</v>
      </c>
      <c r="R85" s="216">
        <v>92.292733999999996</v>
      </c>
      <c r="S85" s="293">
        <v>1.20045</v>
      </c>
      <c r="T85" s="293">
        <v>2.2115377700000001</v>
      </c>
      <c r="U85" s="293">
        <v>2.2115377700000001</v>
      </c>
      <c r="V85" s="293">
        <v>5.463822922953554E-2</v>
      </c>
      <c r="W85" s="216"/>
    </row>
    <row r="86" spans="12:24">
      <c r="L86" s="10"/>
      <c r="M86" s="10" t="s">
        <v>272</v>
      </c>
      <c r="N86" s="216">
        <v>258.26206200000001</v>
      </c>
      <c r="O86" s="216">
        <v>539.11074199999996</v>
      </c>
      <c r="P86" s="216">
        <v>111.672894</v>
      </c>
      <c r="Q86" s="293">
        <v>0.58191700000000002</v>
      </c>
      <c r="R86" s="216">
        <v>85.577528000000001</v>
      </c>
      <c r="S86" s="293">
        <v>0.58287299999999997</v>
      </c>
      <c r="T86" s="293">
        <v>1.9475395560000002</v>
      </c>
      <c r="U86" s="293">
        <v>1.9475395560000002</v>
      </c>
      <c r="V86" s="293">
        <v>2.6122514890074378</v>
      </c>
      <c r="W86" s="216"/>
    </row>
    <row r="87" spans="12:24">
      <c r="L87" s="10"/>
      <c r="M87" s="10" t="s">
        <v>272</v>
      </c>
      <c r="O87" s="216"/>
      <c r="P87" s="216"/>
      <c r="Q87" s="216"/>
      <c r="R87" s="293"/>
      <c r="S87" s="216"/>
      <c r="T87" s="293"/>
      <c r="U87" s="293"/>
      <c r="V87" s="293"/>
      <c r="W87" s="293"/>
      <c r="X87" s="216"/>
    </row>
    <row r="88" spans="12:24">
      <c r="O88" s="216"/>
      <c r="P88" s="216"/>
      <c r="Q88" s="216"/>
      <c r="R88" s="293"/>
      <c r="S88" s="216"/>
      <c r="T88" s="293"/>
      <c r="U88" s="293"/>
      <c r="V88" s="293"/>
      <c r="W88" s="293"/>
      <c r="X88" s="216"/>
    </row>
    <row r="94" spans="12:24">
      <c r="L94" s="335">
        <v>320.61657600000001</v>
      </c>
      <c r="M94" s="335">
        <v>889.17533500000002</v>
      </c>
      <c r="N94" s="336">
        <v>186.103534</v>
      </c>
      <c r="O94" s="337">
        <v>1.3160810000000001</v>
      </c>
      <c r="P94" s="336">
        <v>130.26609300000001</v>
      </c>
      <c r="Q94" s="337">
        <v>2.8126220000000002</v>
      </c>
      <c r="R94" s="337">
        <v>2.0689000000000002</v>
      </c>
      <c r="S94" s="337">
        <v>3.2349159900000002</v>
      </c>
      <c r="T94" s="293">
        <v>14.999100398455615</v>
      </c>
      <c r="U94" s="216">
        <v>21652.039016532101</v>
      </c>
    </row>
    <row r="95" spans="12:24">
      <c r="L95" s="335">
        <v>412.26193899999998</v>
      </c>
      <c r="M95" s="335">
        <v>932.61912099999995</v>
      </c>
      <c r="N95" s="336">
        <v>205.76403499999998</v>
      </c>
      <c r="O95" s="337">
        <v>0.87887999999999999</v>
      </c>
      <c r="P95" s="336">
        <v>126.724749</v>
      </c>
      <c r="Q95" s="337">
        <v>2.7173499999999997</v>
      </c>
      <c r="R95" s="337">
        <v>2.525255</v>
      </c>
      <c r="S95" s="337">
        <v>3.3456466120000004</v>
      </c>
      <c r="T95" s="293">
        <v>5.9222623980531921</v>
      </c>
      <c r="U95" s="216">
        <v>3975.4334774340891</v>
      </c>
    </row>
    <row r="96" spans="12:24">
      <c r="L96" s="334">
        <f>L95/L94-1</f>
        <v>0.28584100093439946</v>
      </c>
      <c r="M96" s="334">
        <f t="shared" ref="M96:U96" si="62">M95/M94-1</f>
        <v>4.8858514502091888E-2</v>
      </c>
      <c r="N96" s="334">
        <f t="shared" si="62"/>
        <v>0.10564281385435681</v>
      </c>
      <c r="O96" s="334">
        <f t="shared" si="62"/>
        <v>-0.33219915795456367</v>
      </c>
      <c r="P96" s="334">
        <f t="shared" si="62"/>
        <v>-2.7185462605376576E-2</v>
      </c>
      <c r="Q96" s="334">
        <f t="shared" si="62"/>
        <v>-3.3873019552574268E-2</v>
      </c>
      <c r="R96" s="334">
        <f t="shared" si="62"/>
        <v>0.22057856832133016</v>
      </c>
      <c r="S96" s="334">
        <f t="shared" si="62"/>
        <v>3.4229829257482525E-2</v>
      </c>
      <c r="T96" s="334">
        <f t="shared" si="62"/>
        <v>-0.60515882681450828</v>
      </c>
      <c r="U96" s="334">
        <f t="shared" si="62"/>
        <v>-0.81639449871678571</v>
      </c>
    </row>
  </sheetData>
  <mergeCells count="2">
    <mergeCell ref="Z4:AA4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C00000"/>
    <pageSetUpPr fitToPage="1"/>
  </sheetPr>
  <dimension ref="A1:P30"/>
  <sheetViews>
    <sheetView zoomScale="130" zoomScaleNormal="130" workbookViewId="0">
      <pane xSplit="1" topLeftCell="B1" activePane="topRight" state="frozen"/>
      <selection activeCell="B24" sqref="B24"/>
      <selection pane="topRight" activeCell="O26" sqref="A26:O26"/>
    </sheetView>
  </sheetViews>
  <sheetFormatPr baseColWidth="10" defaultColWidth="11.5703125" defaultRowHeight="12"/>
  <cols>
    <col min="1" max="1" width="37.5703125" style="12" customWidth="1"/>
    <col min="2" max="2" width="6.7109375" style="12" hidden="1" customWidth="1"/>
    <col min="3" max="11" width="6.7109375" style="12" customWidth="1"/>
    <col min="12" max="13" width="8.28515625" style="12" customWidth="1"/>
    <col min="14" max="14" width="11.5703125" style="12"/>
    <col min="15" max="15" width="11.5703125" style="10"/>
    <col min="16" max="16" width="15.7109375" style="10" bestFit="1" customWidth="1"/>
    <col min="17" max="16384" width="11.5703125" style="10"/>
  </cols>
  <sheetData>
    <row r="1" spans="1:16" ht="15">
      <c r="A1" s="1" t="s">
        <v>231</v>
      </c>
    </row>
    <row r="2" spans="1:16" ht="15">
      <c r="A2" s="15" t="s">
        <v>152</v>
      </c>
    </row>
    <row r="4" spans="1:16" ht="14.45" customHeight="1">
      <c r="A4" s="181" t="s">
        <v>76</v>
      </c>
      <c r="B4" s="179">
        <v>2006</v>
      </c>
      <c r="C4" s="320">
        <v>2008</v>
      </c>
      <c r="D4" s="320">
        <v>2009</v>
      </c>
      <c r="E4" s="320">
        <v>2010</v>
      </c>
      <c r="F4" s="320">
        <v>2011</v>
      </c>
      <c r="G4" s="320">
        <v>2012</v>
      </c>
      <c r="H4" s="320">
        <v>2013</v>
      </c>
      <c r="I4" s="320">
        <v>2014</v>
      </c>
      <c r="J4" s="320">
        <v>2015</v>
      </c>
      <c r="K4" s="226">
        <v>2016</v>
      </c>
      <c r="L4" s="296">
        <v>2016</v>
      </c>
      <c r="M4" s="277">
        <v>2017</v>
      </c>
      <c r="N4" s="296" t="s">
        <v>38</v>
      </c>
      <c r="O4" s="179" t="s">
        <v>72</v>
      </c>
    </row>
    <row r="5" spans="1:16" s="54" customForma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547" t="s">
        <v>406</v>
      </c>
      <c r="M5" s="547"/>
      <c r="N5" s="183"/>
      <c r="O5" s="183"/>
    </row>
    <row r="6" spans="1:16" s="32" customFormat="1">
      <c r="A6" s="71"/>
      <c r="B6" s="31"/>
      <c r="C6" s="31"/>
      <c r="D6" s="31"/>
      <c r="E6" s="31"/>
      <c r="F6" s="31"/>
      <c r="G6" s="31"/>
      <c r="H6" s="31"/>
      <c r="I6" s="31"/>
      <c r="M6" s="31"/>
      <c r="N6" s="31"/>
      <c r="O6" s="31"/>
    </row>
    <row r="7" spans="1:16" s="32" customFormat="1" ht="12.75" thickBot="1">
      <c r="A7" s="30"/>
      <c r="B7" s="31"/>
      <c r="C7" s="31"/>
      <c r="D7" s="31"/>
      <c r="E7" s="31"/>
      <c r="F7" s="31"/>
      <c r="G7" s="31"/>
      <c r="H7" s="31"/>
      <c r="I7" s="31"/>
      <c r="L7" s="301"/>
      <c r="M7" s="302"/>
      <c r="N7" s="31"/>
      <c r="O7" s="31"/>
    </row>
    <row r="8" spans="1:16">
      <c r="I8" s="28"/>
      <c r="L8" s="303"/>
      <c r="M8" s="304"/>
      <c r="N8" s="297"/>
      <c r="O8" s="281"/>
    </row>
    <row r="9" spans="1:16">
      <c r="A9" s="184" t="s">
        <v>360</v>
      </c>
      <c r="B9" s="185">
        <v>14734.514653881037</v>
      </c>
      <c r="C9" s="185">
        <v>18100.9679482994</v>
      </c>
      <c r="D9" s="185">
        <v>16481.813528277929</v>
      </c>
      <c r="E9" s="185">
        <v>21902.831565768924</v>
      </c>
      <c r="F9" s="185">
        <v>27525.674834212732</v>
      </c>
      <c r="G9" s="185">
        <v>27466.673086776646</v>
      </c>
      <c r="H9" s="185">
        <v>23789.445416193055</v>
      </c>
      <c r="I9" s="185">
        <v>20545.413928408008</v>
      </c>
      <c r="J9" s="230">
        <v>18836.319853859721</v>
      </c>
      <c r="K9" s="330">
        <v>21652.039016532108</v>
      </c>
      <c r="L9" s="305">
        <v>4441.0986062019138</v>
      </c>
      <c r="M9" s="306">
        <v>5939.5037257211206</v>
      </c>
      <c r="N9" s="299">
        <f>M9/L9-1</f>
        <v>0.33739514754901223</v>
      </c>
      <c r="O9" s="282">
        <f>M9/$M$24</f>
        <v>0.58714785097455502</v>
      </c>
    </row>
    <row r="10" spans="1:16">
      <c r="A10" s="184" t="s">
        <v>324</v>
      </c>
      <c r="B10" s="185">
        <v>135.44210000000001</v>
      </c>
      <c r="C10" s="185">
        <v>175.89179999999999</v>
      </c>
      <c r="D10" s="185">
        <v>148.02010000000001</v>
      </c>
      <c r="E10" s="185">
        <v>251.68170000000003</v>
      </c>
      <c r="F10" s="185">
        <v>491.9676</v>
      </c>
      <c r="G10" s="185">
        <v>722.2650000000001</v>
      </c>
      <c r="H10" s="185">
        <v>721.94380000000012</v>
      </c>
      <c r="I10" s="185">
        <v>663.60569999999996</v>
      </c>
      <c r="J10" s="230">
        <v>697.67470000000003</v>
      </c>
      <c r="K10" s="330">
        <v>639.86619999999994</v>
      </c>
      <c r="L10" s="305">
        <v>156.38149999999999</v>
      </c>
      <c r="M10" s="306">
        <v>127.23929999999999</v>
      </c>
      <c r="N10" s="299">
        <f t="shared" ref="N10:N21" si="0">M10/L10-1</f>
        <v>-0.18635324510891638</v>
      </c>
      <c r="O10" s="282">
        <f t="shared" ref="O10:O21" si="1">M10/$M$24</f>
        <v>1.2578202658747602E-2</v>
      </c>
    </row>
    <row r="11" spans="1:16">
      <c r="A11" s="184" t="s">
        <v>325</v>
      </c>
      <c r="B11" s="185">
        <v>828.88519999999994</v>
      </c>
      <c r="C11" s="185">
        <v>908.78440000000012</v>
      </c>
      <c r="D11" s="185">
        <v>570.93029999999999</v>
      </c>
      <c r="E11" s="185">
        <v>949.29350000000011</v>
      </c>
      <c r="F11" s="185">
        <v>1129.5879</v>
      </c>
      <c r="G11" s="185">
        <v>1301.0628000000002</v>
      </c>
      <c r="H11" s="185">
        <v>1320.0777</v>
      </c>
      <c r="I11" s="185">
        <v>1148.5262999999998</v>
      </c>
      <c r="J11" s="230">
        <v>1080.2878000000001</v>
      </c>
      <c r="K11" s="330">
        <v>1083.5482999999999</v>
      </c>
      <c r="L11" s="305">
        <v>237.72140000000002</v>
      </c>
      <c r="M11" s="306">
        <v>297.55719999999997</v>
      </c>
      <c r="N11" s="299">
        <f t="shared" si="0"/>
        <v>0.25170556794634358</v>
      </c>
      <c r="O11" s="282">
        <f t="shared" si="1"/>
        <v>2.9414927339033552E-2</v>
      </c>
    </row>
    <row r="12" spans="1:16">
      <c r="A12" s="184" t="s">
        <v>326</v>
      </c>
      <c r="B12" s="185">
        <v>164.41579999999999</v>
      </c>
      <c r="C12" s="185">
        <v>327.77690000000001</v>
      </c>
      <c r="D12" s="185">
        <v>368.9264</v>
      </c>
      <c r="E12" s="185">
        <v>393.05259999999987</v>
      </c>
      <c r="F12" s="185">
        <v>475.91149999999999</v>
      </c>
      <c r="G12" s="185">
        <v>545.32429999999999</v>
      </c>
      <c r="H12" s="185">
        <v>544.48760000000016</v>
      </c>
      <c r="I12" s="185">
        <v>581.29720000000009</v>
      </c>
      <c r="J12" s="230">
        <v>525.20709999999997</v>
      </c>
      <c r="K12" s="330">
        <v>442.02819999999997</v>
      </c>
      <c r="L12" s="305">
        <v>104.73360000000001</v>
      </c>
      <c r="M12" s="306">
        <v>104.5215</v>
      </c>
      <c r="N12" s="299">
        <f t="shared" si="0"/>
        <v>-2.0251380645753825E-3</v>
      </c>
      <c r="O12" s="282">
        <f t="shared" si="1"/>
        <v>1.0332441385611896E-2</v>
      </c>
      <c r="P12" s="292">
        <f>SUM(O9:O12)</f>
        <v>0.63947342235794802</v>
      </c>
    </row>
    <row r="13" spans="1:16">
      <c r="A13" s="61" t="s">
        <v>327</v>
      </c>
      <c r="B13" s="25">
        <v>1817.7038775882188</v>
      </c>
      <c r="C13" s="25">
        <v>2681.4368000245331</v>
      </c>
      <c r="D13" s="25">
        <v>1920.8202588002309</v>
      </c>
      <c r="E13" s="25">
        <v>3088.1233844173048</v>
      </c>
      <c r="F13" s="25">
        <v>4567.8024539648541</v>
      </c>
      <c r="G13" s="25">
        <v>4995.5372719897332</v>
      </c>
      <c r="H13" s="25">
        <v>5270.9630859503377</v>
      </c>
      <c r="I13" s="25">
        <v>4562.2725959757954</v>
      </c>
      <c r="J13" s="229">
        <v>2301.9020648507772</v>
      </c>
      <c r="K13" s="331">
        <v>2209.6042506134827</v>
      </c>
      <c r="L13" s="307">
        <v>356.65870582381797</v>
      </c>
      <c r="M13" s="308">
        <v>792.42076649310206</v>
      </c>
      <c r="N13" s="300">
        <f t="shared" si="0"/>
        <v>1.2217900574240899</v>
      </c>
      <c r="O13" s="283">
        <f t="shared" si="1"/>
        <v>7.8334516080726238E-2</v>
      </c>
      <c r="P13" s="21">
        <f>100%-P12</f>
        <v>0.36052657764205198</v>
      </c>
    </row>
    <row r="14" spans="1:16">
      <c r="A14" s="61" t="s">
        <v>351</v>
      </c>
      <c r="B14" s="25">
        <v>1335.1616278556833</v>
      </c>
      <c r="C14" s="25">
        <v>1797.3858471823089</v>
      </c>
      <c r="D14" s="25">
        <v>1683.2136660010215</v>
      </c>
      <c r="E14" s="25">
        <v>1884.2183061226253</v>
      </c>
      <c r="F14" s="25">
        <v>2113.5156486492629</v>
      </c>
      <c r="G14" s="25">
        <v>2311.7126019672733</v>
      </c>
      <c r="H14" s="25">
        <v>1706.6950634617754</v>
      </c>
      <c r="I14" s="25">
        <v>1730.5254660543083</v>
      </c>
      <c r="J14" s="229">
        <v>1449.312460068011</v>
      </c>
      <c r="K14" s="331">
        <v>1266.7486399764689</v>
      </c>
      <c r="L14" s="307">
        <v>368.66657742224066</v>
      </c>
      <c r="M14" s="308">
        <v>609.49962808158261</v>
      </c>
      <c r="N14" s="300">
        <f t="shared" si="0"/>
        <v>0.65325436426397654</v>
      </c>
      <c r="O14" s="283">
        <f t="shared" si="1"/>
        <v>6.0251902065175125E-2</v>
      </c>
    </row>
    <row r="15" spans="1:16">
      <c r="A15" s="61" t="s">
        <v>328</v>
      </c>
      <c r="B15" s="25">
        <v>573.66587994337112</v>
      </c>
      <c r="C15" s="25">
        <v>685.93448714902649</v>
      </c>
      <c r="D15" s="25">
        <v>634.36531445369326</v>
      </c>
      <c r="E15" s="25">
        <v>975.09790797619473</v>
      </c>
      <c r="F15" s="25">
        <v>1689.3502871966998</v>
      </c>
      <c r="G15" s="25">
        <v>1094.8051389253683</v>
      </c>
      <c r="H15" s="25">
        <v>785.88057815767991</v>
      </c>
      <c r="I15" s="25">
        <v>847.43103959854761</v>
      </c>
      <c r="J15" s="229">
        <v>703.8922290231435</v>
      </c>
      <c r="K15" s="331">
        <v>875.63225430814714</v>
      </c>
      <c r="L15" s="307">
        <v>91.383941909750519</v>
      </c>
      <c r="M15" s="308">
        <v>102.67378718934179</v>
      </c>
      <c r="N15" s="300">
        <f t="shared" si="0"/>
        <v>0.12354298844693057</v>
      </c>
      <c r="O15" s="283">
        <f t="shared" si="1"/>
        <v>1.0149786292510761E-2</v>
      </c>
    </row>
    <row r="16" spans="1:16">
      <c r="A16" s="61" t="s">
        <v>329</v>
      </c>
      <c r="B16" s="25">
        <v>1220.1224000000002</v>
      </c>
      <c r="C16" s="25">
        <v>1912.6476</v>
      </c>
      <c r="D16" s="25">
        <v>1827.6067999999998</v>
      </c>
      <c r="E16" s="25">
        <v>2202.5515999999998</v>
      </c>
      <c r="F16" s="25">
        <v>2835.5270999999998</v>
      </c>
      <c r="G16" s="25">
        <v>3082.7011000000002</v>
      </c>
      <c r="H16" s="25">
        <v>3444.3696</v>
      </c>
      <c r="I16" s="25">
        <v>4231.3062</v>
      </c>
      <c r="J16" s="229">
        <v>4387.2945000000009</v>
      </c>
      <c r="K16" s="331">
        <v>4667.4306999999999</v>
      </c>
      <c r="L16" s="307">
        <v>1035.4380000000001</v>
      </c>
      <c r="M16" s="308">
        <v>1075.5849000000001</v>
      </c>
      <c r="N16" s="300">
        <f t="shared" si="0"/>
        <v>3.877286713448802E-2</v>
      </c>
      <c r="O16" s="283">
        <f t="shared" si="1"/>
        <v>0.10632662116884309</v>
      </c>
    </row>
    <row r="17" spans="1:15">
      <c r="A17" s="61" t="s">
        <v>350</v>
      </c>
      <c r="B17" s="25">
        <v>432.90429999999998</v>
      </c>
      <c r="C17" s="25">
        <v>621.93760000000009</v>
      </c>
      <c r="D17" s="25">
        <v>517.92150000000004</v>
      </c>
      <c r="E17" s="25">
        <v>643.65350000000001</v>
      </c>
      <c r="F17" s="25">
        <v>1049.4242000000002</v>
      </c>
      <c r="G17" s="25">
        <v>1016.9302</v>
      </c>
      <c r="H17" s="25">
        <v>1030.2617</v>
      </c>
      <c r="I17" s="25">
        <v>1155.346</v>
      </c>
      <c r="J17" s="229">
        <v>933.53810000000021</v>
      </c>
      <c r="K17" s="331">
        <v>907.48299999999995</v>
      </c>
      <c r="L17" s="307">
        <v>211.3021</v>
      </c>
      <c r="M17" s="308">
        <v>313.5018</v>
      </c>
      <c r="N17" s="300">
        <f t="shared" si="0"/>
        <v>0.48366627686142261</v>
      </c>
      <c r="O17" s="283">
        <f t="shared" si="1"/>
        <v>3.0991125967229929E-2</v>
      </c>
    </row>
    <row r="18" spans="1:15">
      <c r="A18" s="239" t="s">
        <v>330</v>
      </c>
      <c r="B18" s="240">
        <v>1472.5702000000001</v>
      </c>
      <c r="C18" s="240">
        <v>2025.8468000000005</v>
      </c>
      <c r="D18" s="240">
        <v>1495.3791999999999</v>
      </c>
      <c r="E18" s="240">
        <v>1560.8283999999999</v>
      </c>
      <c r="F18" s="240">
        <v>1989.8615</v>
      </c>
      <c r="G18" s="240">
        <v>2177.0586000000003</v>
      </c>
      <c r="H18" s="240">
        <v>1927.9707999999998</v>
      </c>
      <c r="I18" s="240">
        <v>1800.1976000000002</v>
      </c>
      <c r="J18" s="229">
        <v>1328.5608999999999</v>
      </c>
      <c r="K18" s="331">
        <v>1195.4779000000001</v>
      </c>
      <c r="L18" s="307">
        <v>293.09449999999998</v>
      </c>
      <c r="M18" s="308">
        <v>294.21429999999998</v>
      </c>
      <c r="N18" s="300">
        <f t="shared" si="0"/>
        <v>3.8206107586460369E-3</v>
      </c>
      <c r="O18" s="283">
        <f t="shared" si="1"/>
        <v>2.9084465966895172E-2</v>
      </c>
    </row>
    <row r="19" spans="1:15">
      <c r="A19" s="239" t="s">
        <v>331</v>
      </c>
      <c r="B19" s="240">
        <v>333.28839999999997</v>
      </c>
      <c r="C19" s="240">
        <v>427.76830000000001</v>
      </c>
      <c r="D19" s="240">
        <v>335.83899999999994</v>
      </c>
      <c r="E19" s="240">
        <v>359.17520000000002</v>
      </c>
      <c r="F19" s="240">
        <v>401.69369999999998</v>
      </c>
      <c r="G19" s="240">
        <v>438.08229999999998</v>
      </c>
      <c r="H19" s="240">
        <v>427.33410000000003</v>
      </c>
      <c r="I19" s="240">
        <v>416.25689999999997</v>
      </c>
      <c r="J19" s="229">
        <v>352.39059999999995</v>
      </c>
      <c r="K19" s="331">
        <v>321.1798</v>
      </c>
      <c r="L19" s="307">
        <v>70.968800000000002</v>
      </c>
      <c r="M19" s="308">
        <v>85.163399999999996</v>
      </c>
      <c r="N19" s="300">
        <f t="shared" si="0"/>
        <v>0.20001183618716945</v>
      </c>
      <c r="O19" s="283">
        <f t="shared" si="1"/>
        <v>8.4188022435519958E-3</v>
      </c>
    </row>
    <row r="20" spans="1:15">
      <c r="A20" s="239" t="s">
        <v>349</v>
      </c>
      <c r="B20" s="240">
        <v>601.67340000000002</v>
      </c>
      <c r="C20" s="240">
        <v>1040.7969000000001</v>
      </c>
      <c r="D20" s="240">
        <v>837.80100000000004</v>
      </c>
      <c r="E20" s="240">
        <v>1228.2731999999999</v>
      </c>
      <c r="F20" s="240">
        <v>1654.8217</v>
      </c>
      <c r="G20" s="240">
        <v>1636.3205999999998</v>
      </c>
      <c r="H20" s="240">
        <v>1510.0326</v>
      </c>
      <c r="I20" s="240">
        <v>1514.9664</v>
      </c>
      <c r="J20" s="229">
        <v>1401.8610999999996</v>
      </c>
      <c r="K20" s="331">
        <v>1333.8604999999998</v>
      </c>
      <c r="L20" s="307">
        <v>333.35239999999999</v>
      </c>
      <c r="M20" s="308">
        <v>310.09979999999996</v>
      </c>
      <c r="N20" s="300">
        <f t="shared" si="0"/>
        <v>-6.9753810082063383E-2</v>
      </c>
      <c r="O20" s="283">
        <f t="shared" si="1"/>
        <v>3.0654822282400952E-2</v>
      </c>
    </row>
    <row r="21" spans="1:15">
      <c r="A21" s="61" t="s">
        <v>32</v>
      </c>
      <c r="B21" s="25">
        <v>179.79940557</v>
      </c>
      <c r="C21" s="25">
        <v>311.30424654000001</v>
      </c>
      <c r="D21" s="25">
        <v>247.88257134000003</v>
      </c>
      <c r="E21" s="25">
        <v>364.29995030999999</v>
      </c>
      <c r="F21" s="25">
        <v>450.82314214999997</v>
      </c>
      <c r="G21" s="25">
        <v>622.13367848000007</v>
      </c>
      <c r="H21" s="25">
        <v>381.17453501</v>
      </c>
      <c r="I21" s="25">
        <v>335.53756860000004</v>
      </c>
      <c r="J21" s="229">
        <v>237.42250985999999</v>
      </c>
      <c r="K21" s="331">
        <v>242.61170436</v>
      </c>
      <c r="L21" s="309">
        <v>54.914598589999997</v>
      </c>
      <c r="M21" s="310">
        <v>63.876939189999995</v>
      </c>
      <c r="N21" s="300">
        <f t="shared" si="0"/>
        <v>0.16320506441127014</v>
      </c>
      <c r="O21" s="283">
        <f t="shared" si="1"/>
        <v>6.314535574718793E-3</v>
      </c>
    </row>
    <row r="22" spans="1:15" ht="12.75" thickBot="1">
      <c r="A22" s="61"/>
      <c r="B22" s="25"/>
      <c r="C22" s="25"/>
      <c r="D22" s="25"/>
      <c r="E22" s="25"/>
      <c r="F22" s="25"/>
      <c r="G22" s="25"/>
      <c r="H22" s="25"/>
      <c r="I22" s="25"/>
      <c r="K22" s="23"/>
      <c r="L22" s="23"/>
      <c r="M22" s="284"/>
      <c r="N22" s="298"/>
      <c r="O22" s="285"/>
    </row>
    <row r="23" spans="1:15">
      <c r="A23" s="61"/>
      <c r="B23" s="14"/>
      <c r="C23" s="14"/>
      <c r="D23" s="14"/>
      <c r="E23" s="14"/>
      <c r="F23" s="14"/>
      <c r="G23" s="14"/>
      <c r="H23" s="14"/>
      <c r="I23" s="14"/>
      <c r="M23" s="14"/>
      <c r="N23" s="14"/>
      <c r="O23" s="21"/>
    </row>
    <row r="24" spans="1:15">
      <c r="A24" s="62" t="s">
        <v>75</v>
      </c>
      <c r="B24" s="17">
        <v>23830.147244838314</v>
      </c>
      <c r="C24" s="17">
        <v>28094.019126088009</v>
      </c>
      <c r="D24" s="17">
        <v>31018.47962919527</v>
      </c>
      <c r="E24" s="17">
        <v>27070.51963887288</v>
      </c>
      <c r="F24" s="17">
        <f t="shared" ref="F24:L24" si="2">SUM(F9:F21)</f>
        <v>46375.961566173552</v>
      </c>
      <c r="G24" s="17">
        <f t="shared" si="2"/>
        <v>47410.606678139018</v>
      </c>
      <c r="H24" s="17">
        <f t="shared" si="2"/>
        <v>42860.636578772857</v>
      </c>
      <c r="I24" s="17">
        <f t="shared" si="2"/>
        <v>39532.682898636653</v>
      </c>
      <c r="J24" s="17">
        <f t="shared" si="2"/>
        <v>34235.663917661652</v>
      </c>
      <c r="K24" s="17">
        <f t="shared" si="2"/>
        <v>36837.510465790205</v>
      </c>
      <c r="L24" s="17">
        <f t="shared" si="2"/>
        <v>7755.7147299477238</v>
      </c>
      <c r="M24" s="17">
        <f>SUM(M9:M21)</f>
        <v>10115.857046675146</v>
      </c>
      <c r="N24" s="63">
        <f t="shared" ref="N24:N26" si="3">M24/L24-1</f>
        <v>0.30431009892795924</v>
      </c>
      <c r="O24" s="63">
        <v>1</v>
      </c>
    </row>
    <row r="25" spans="1:15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5">
      <c r="A26" s="62" t="s">
        <v>366</v>
      </c>
      <c r="B26" s="17">
        <f>SUM(B9:B12)</f>
        <v>15863.257753881038</v>
      </c>
      <c r="C26" s="17">
        <f t="shared" ref="C26:K26" si="4">SUM(C9:C12)</f>
        <v>19513.421048299402</v>
      </c>
      <c r="D26" s="17">
        <f t="shared" si="4"/>
        <v>17569.690328277931</v>
      </c>
      <c r="E26" s="17">
        <f t="shared" si="4"/>
        <v>23496.859365768923</v>
      </c>
      <c r="F26" s="17">
        <f t="shared" si="4"/>
        <v>29623.141834212729</v>
      </c>
      <c r="G26" s="17">
        <f t="shared" si="4"/>
        <v>30035.325186776645</v>
      </c>
      <c r="H26" s="17">
        <f t="shared" si="4"/>
        <v>26375.954516193058</v>
      </c>
      <c r="I26" s="17">
        <f t="shared" si="4"/>
        <v>22938.843128408011</v>
      </c>
      <c r="J26" s="17">
        <f t="shared" si="4"/>
        <v>21139.489453859722</v>
      </c>
      <c r="K26" s="17">
        <f t="shared" si="4"/>
        <v>23817.481716532107</v>
      </c>
      <c r="L26" s="17">
        <f>SUM(L9:L12)</f>
        <v>4939.9351062019141</v>
      </c>
      <c r="M26" s="17">
        <f>SUM(M9:M12)</f>
        <v>6468.8217257211209</v>
      </c>
      <c r="N26" s="63">
        <f t="shared" si="3"/>
        <v>0.30949528417888406</v>
      </c>
      <c r="O26" s="63">
        <f>SUM(O9:O12)</f>
        <v>0.63947342235794802</v>
      </c>
    </row>
    <row r="29" spans="1:15">
      <c r="A29" s="5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47" customFormat="1"/>
  </sheetData>
  <mergeCells count="1">
    <mergeCell ref="L5:M5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"/>
  <sheetViews>
    <sheetView workbookViewId="0">
      <selection activeCell="L19" sqref="L8:M19"/>
    </sheetView>
  </sheetViews>
  <sheetFormatPr baseColWidth="10" defaultColWidth="11.5703125" defaultRowHeight="12"/>
  <cols>
    <col min="1" max="1" width="37.5703125" style="12" customWidth="1"/>
    <col min="2" max="2" width="13" style="12" customWidth="1"/>
    <col min="3" max="4" width="11.5703125" style="10"/>
    <col min="5" max="5" width="37.5703125" style="12" hidden="1" customWidth="1"/>
    <col min="6" max="6" width="6.7109375" style="12" hidden="1" customWidth="1"/>
    <col min="7" max="8" width="0" style="10" hidden="1" customWidth="1"/>
    <col min="9" max="16384" width="11.5703125" style="10"/>
  </cols>
  <sheetData>
    <row r="1" spans="1:15" ht="15">
      <c r="A1" s="1" t="s">
        <v>362</v>
      </c>
      <c r="E1" s="1"/>
    </row>
    <row r="2" spans="1:15" ht="15">
      <c r="A2" s="15" t="s">
        <v>361</v>
      </c>
      <c r="E2" s="15"/>
    </row>
    <row r="4" spans="1:15" ht="14.45" customHeight="1">
      <c r="A4" s="181" t="s">
        <v>76</v>
      </c>
      <c r="B4" s="278">
        <v>2016</v>
      </c>
      <c r="C4" s="278" t="s">
        <v>72</v>
      </c>
      <c r="E4" s="1"/>
    </row>
    <row r="5" spans="1:15" s="54" customFormat="1" ht="15">
      <c r="A5" s="182"/>
      <c r="B5" s="183"/>
      <c r="C5" s="183"/>
      <c r="E5" s="1"/>
      <c r="F5" s="12"/>
      <c r="G5" s="10"/>
    </row>
    <row r="6" spans="1:15" s="32" customFormat="1" ht="15">
      <c r="A6" s="71"/>
      <c r="B6" s="31"/>
      <c r="C6" s="31"/>
      <c r="E6" s="1"/>
      <c r="F6" s="12"/>
      <c r="G6" s="10"/>
    </row>
    <row r="7" spans="1:15" s="32" customFormat="1" ht="12.75" thickBot="1">
      <c r="A7" s="288" t="s">
        <v>364</v>
      </c>
      <c r="B7" s="289">
        <f>SUM(B9:B17)</f>
        <v>5939.5037257211206</v>
      </c>
      <c r="C7" s="283">
        <f>B7/$B$24</f>
        <v>0.91817397009174906</v>
      </c>
      <c r="E7" s="30"/>
      <c r="F7" s="31"/>
      <c r="G7" s="31"/>
    </row>
    <row r="8" spans="1:15">
      <c r="C8" s="281"/>
      <c r="G8" s="281"/>
      <c r="L8" s="239" t="s">
        <v>9</v>
      </c>
      <c r="M8" s="283">
        <f>C9</f>
        <v>0.47074262134954115</v>
      </c>
      <c r="O8" s="338">
        <f>SUM(M8:M16)</f>
        <v>0.91817397009174906</v>
      </c>
    </row>
    <row r="9" spans="1:15" s="32" customFormat="1">
      <c r="A9" s="239" t="s">
        <v>9</v>
      </c>
      <c r="B9" s="240">
        <f>'03.1 EXPORTACIONES MINERAS'!AA8</f>
        <v>3045.150096208823</v>
      </c>
      <c r="C9" s="283">
        <f t="shared" ref="C9:C17" si="0">B9/$B$24</f>
        <v>0.47074262134954115</v>
      </c>
      <c r="E9" s="239" t="s">
        <v>9</v>
      </c>
      <c r="F9" s="240">
        <v>6897.5175063077559</v>
      </c>
      <c r="G9" s="283">
        <v>0.45480860832773023</v>
      </c>
      <c r="L9" s="239" t="s">
        <v>16</v>
      </c>
      <c r="M9" s="283">
        <f>C10</f>
        <v>0.26343246485307303</v>
      </c>
    </row>
    <row r="10" spans="1:15" s="32" customFormat="1">
      <c r="A10" s="239" t="s">
        <v>16</v>
      </c>
      <c r="B10" s="240">
        <f>'03.1 EXPORTACIONES MINERAS'!AA12</f>
        <v>1704.0976519018245</v>
      </c>
      <c r="C10" s="283">
        <f t="shared" si="0"/>
        <v>0.26343246485307303</v>
      </c>
      <c r="E10" s="239" t="s">
        <v>16</v>
      </c>
      <c r="F10" s="240">
        <v>5333.5725486439305</v>
      </c>
      <c r="G10" s="283">
        <v>0.35168518326272996</v>
      </c>
      <c r="L10" s="239" t="s">
        <v>19</v>
      </c>
      <c r="M10" s="283">
        <f>C11</f>
        <v>7.8427242136471106E-2</v>
      </c>
    </row>
    <row r="11" spans="1:15" s="32" customFormat="1">
      <c r="A11" s="239" t="s">
        <v>19</v>
      </c>
      <c r="B11" s="240">
        <f>'03.1 EXPORTACIONES MINERAS'!AA16</f>
        <v>507.33184782079519</v>
      </c>
      <c r="C11" s="283">
        <f t="shared" si="0"/>
        <v>7.8427242136471106E-2</v>
      </c>
      <c r="E11" s="239" t="s">
        <v>25</v>
      </c>
      <c r="F11" s="240">
        <v>1178.7959383468938</v>
      </c>
      <c r="G11" s="283">
        <v>7.7727463501418556E-2</v>
      </c>
      <c r="L11" s="239" t="s">
        <v>22</v>
      </c>
      <c r="M11" s="283">
        <f>C12</f>
        <v>3.67871417033296E-3</v>
      </c>
    </row>
    <row r="12" spans="1:15" s="32" customFormat="1">
      <c r="A12" s="239" t="s">
        <v>22</v>
      </c>
      <c r="B12" s="240">
        <f>'03.1 EXPORTACIONES MINERAS'!AA20</f>
        <v>23.796946147768001</v>
      </c>
      <c r="C12" s="283">
        <f t="shared" si="0"/>
        <v>3.67871417033296E-3</v>
      </c>
      <c r="E12" s="239" t="s">
        <v>19</v>
      </c>
      <c r="F12" s="240">
        <v>982.48300990799225</v>
      </c>
      <c r="G12" s="283">
        <v>6.478297880842758E-2</v>
      </c>
      <c r="L12" s="239" t="s">
        <v>25</v>
      </c>
      <c r="M12" s="283">
        <f>C13</f>
        <v>5.177264790484732E-2</v>
      </c>
    </row>
    <row r="13" spans="1:15" s="32" customFormat="1">
      <c r="A13" s="239" t="s">
        <v>25</v>
      </c>
      <c r="B13" s="240">
        <f>'03.1 EXPORTACIONES MINERAS'!AA24</f>
        <v>334.90802956498641</v>
      </c>
      <c r="C13" s="283">
        <f t="shared" si="0"/>
        <v>5.177264790484732E-2</v>
      </c>
      <c r="E13" s="239" t="s">
        <v>26</v>
      </c>
      <c r="F13" s="240">
        <v>247.58797021279898</v>
      </c>
      <c r="G13" s="283">
        <v>1.632545913340468E-2</v>
      </c>
      <c r="L13" s="239" t="s">
        <v>26</v>
      </c>
      <c r="M13" s="283">
        <f t="shared" ref="M13:M16" si="1">C14</f>
        <v>2.3834542172566121E-2</v>
      </c>
    </row>
    <row r="14" spans="1:15" s="32" customFormat="1">
      <c r="A14" s="239" t="s">
        <v>26</v>
      </c>
      <c r="B14" s="240">
        <f>'03.1 EXPORTACIONES MINERAS'!AA32</f>
        <v>154.18140422851201</v>
      </c>
      <c r="C14" s="283">
        <f t="shared" si="0"/>
        <v>2.3834542172566121E-2</v>
      </c>
      <c r="E14" s="239" t="s">
        <v>27</v>
      </c>
      <c r="F14" s="240">
        <v>237.03748869093548</v>
      </c>
      <c r="G14" s="283">
        <v>1.562978133138997E-2</v>
      </c>
      <c r="L14" s="239" t="s">
        <v>27</v>
      </c>
      <c r="M14" s="283">
        <f t="shared" si="1"/>
        <v>1.3985805403893194E-2</v>
      </c>
    </row>
    <row r="15" spans="1:15" s="32" customFormat="1">
      <c r="A15" s="239" t="s">
        <v>27</v>
      </c>
      <c r="B15" s="240">
        <f>'03.1 EXPORTACIONES MINERAS'!AA28</f>
        <v>90.471681848412146</v>
      </c>
      <c r="C15" s="283">
        <f t="shared" si="0"/>
        <v>1.3985805403893194E-2</v>
      </c>
      <c r="E15" s="239" t="s">
        <v>29</v>
      </c>
      <c r="F15" s="240">
        <v>195.65920941493385</v>
      </c>
      <c r="G15" s="283">
        <v>1.2901379758606085E-2</v>
      </c>
      <c r="L15" s="239" t="s">
        <v>29</v>
      </c>
      <c r="M15" s="283">
        <f t="shared" si="1"/>
        <v>1.0866108025406756E-2</v>
      </c>
    </row>
    <row r="16" spans="1:15" s="32" customFormat="1">
      <c r="A16" s="239" t="s">
        <v>29</v>
      </c>
      <c r="B16" s="240">
        <f>'03.1 EXPORTACIONES MINERAS'!AA36</f>
        <v>70.290915668783853</v>
      </c>
      <c r="C16" s="283">
        <f t="shared" si="0"/>
        <v>1.0866108025406756E-2</v>
      </c>
      <c r="E16" s="239" t="s">
        <v>22</v>
      </c>
      <c r="F16" s="240">
        <v>86.525291018375</v>
      </c>
      <c r="G16" s="283">
        <v>5.7053058810262267E-3</v>
      </c>
      <c r="L16" s="239" t="s">
        <v>715</v>
      </c>
      <c r="M16" s="283">
        <f t="shared" si="1"/>
        <v>1.4338240756174476E-3</v>
      </c>
    </row>
    <row r="17" spans="1:13" s="32" customFormat="1">
      <c r="A17" s="239" t="s">
        <v>32</v>
      </c>
      <c r="B17" s="240">
        <f>'03.1 EXPORTACIONES MINERAS'!AA40</f>
        <v>9.2751523312161481</v>
      </c>
      <c r="C17" s="283">
        <f t="shared" si="0"/>
        <v>1.4338240756174476E-3</v>
      </c>
      <c r="E17" s="239" t="s">
        <v>32</v>
      </c>
      <c r="F17" s="240">
        <v>6.5795125850661353</v>
      </c>
      <c r="G17" s="283">
        <v>4.338399952667259E-4</v>
      </c>
      <c r="L17" s="286" t="s">
        <v>324</v>
      </c>
      <c r="M17" s="283">
        <f>C20</f>
        <v>1.966962538078228E-2</v>
      </c>
    </row>
    <row r="18" spans="1:13" s="32" customFormat="1" ht="12.75" thickBot="1">
      <c r="A18" s="239"/>
      <c r="B18" s="240"/>
      <c r="C18" s="285"/>
      <c r="E18" s="239"/>
      <c r="F18" s="240"/>
      <c r="G18" s="285"/>
      <c r="L18" s="286" t="s">
        <v>325</v>
      </c>
      <c r="M18" s="283">
        <f>C21</f>
        <v>4.5998670641496056E-2</v>
      </c>
    </row>
    <row r="19" spans="1:13">
      <c r="A19" s="61"/>
      <c r="B19" s="14"/>
      <c r="C19" s="21"/>
      <c r="E19" s="61"/>
      <c r="F19" s="14"/>
      <c r="G19" s="21"/>
      <c r="L19" s="286" t="s">
        <v>326</v>
      </c>
      <c r="M19" s="283">
        <f>C22</f>
        <v>1.6157733885972615E-2</v>
      </c>
    </row>
    <row r="20" spans="1:13">
      <c r="A20" s="286" t="str">
        <f>'03.2 PARTICP. EXPORTACIONES'!A10</f>
        <v>Minerales no metálicos</v>
      </c>
      <c r="B20" s="14">
        <f>'03.2 PARTICP. EXPORTACIONES'!M10</f>
        <v>127.23929999999999</v>
      </c>
      <c r="C20" s="283">
        <f t="shared" ref="C20:C22" si="2">B20/$B$24</f>
        <v>1.966962538078228E-2</v>
      </c>
      <c r="E20" s="62" t="s">
        <v>75</v>
      </c>
      <c r="F20" s="17">
        <f>SUM(F9:F19)</f>
        <v>15165.758475128681</v>
      </c>
      <c r="G20" s="63">
        <v>1</v>
      </c>
    </row>
    <row r="21" spans="1:13">
      <c r="A21" s="286" t="str">
        <f>'03.2 PARTICP. EXPORTACIONES'!A11</f>
        <v>Sidero-metalúrgicos y joyería</v>
      </c>
      <c r="B21" s="14">
        <f>'03.2 PARTICP. EXPORTACIONES'!M11</f>
        <v>297.55719999999997</v>
      </c>
      <c r="C21" s="283">
        <f t="shared" si="2"/>
        <v>4.5998670641496056E-2</v>
      </c>
      <c r="E21" s="74"/>
      <c r="F21" s="72"/>
    </row>
    <row r="22" spans="1:13">
      <c r="A22" s="286" t="str">
        <f>'03.2 PARTICP. EXPORTACIONES'!A12</f>
        <v>Metal-mecánicos</v>
      </c>
      <c r="B22" s="14">
        <f>'03.2 PARTICP. EXPORTACIONES'!M12</f>
        <v>104.5215</v>
      </c>
      <c r="C22" s="283">
        <f t="shared" si="2"/>
        <v>1.6157733885972615E-2</v>
      </c>
      <c r="M22" s="338"/>
    </row>
    <row r="23" spans="1:13">
      <c r="M23" s="338"/>
    </row>
    <row r="24" spans="1:13">
      <c r="A24" s="62" t="s">
        <v>366</v>
      </c>
      <c r="B24" s="17">
        <f>SUM(B9:B22)</f>
        <v>6468.8217257211209</v>
      </c>
      <c r="C24" s="287">
        <v>1</v>
      </c>
      <c r="M24" s="338"/>
    </row>
    <row r="25" spans="1:13">
      <c r="A25" s="340"/>
      <c r="B25" s="72"/>
      <c r="C25" s="341"/>
      <c r="M25" s="338"/>
    </row>
    <row r="26" spans="1:13">
      <c r="A26" s="340"/>
      <c r="B26" s="72"/>
      <c r="C26" s="341"/>
      <c r="M26" s="338"/>
    </row>
    <row r="27" spans="1:13" ht="15">
      <c r="A27" s="1" t="s">
        <v>363</v>
      </c>
      <c r="E27" s="1"/>
      <c r="M27" s="338"/>
    </row>
    <row r="28" spans="1:13" ht="15">
      <c r="A28" s="15" t="s">
        <v>361</v>
      </c>
      <c r="E28" s="15"/>
      <c r="M28" s="338"/>
    </row>
    <row r="29" spans="1:13">
      <c r="M29" s="338"/>
    </row>
    <row r="30" spans="1:13" ht="14.45" customHeight="1">
      <c r="A30" s="181" t="s">
        <v>76</v>
      </c>
      <c r="B30" s="278">
        <v>2016</v>
      </c>
      <c r="C30" s="278" t="s">
        <v>72</v>
      </c>
      <c r="E30" s="1"/>
      <c r="M30" s="338"/>
    </row>
    <row r="31" spans="1:13" s="54" customFormat="1" ht="15">
      <c r="A31" s="182"/>
      <c r="B31" s="183"/>
      <c r="C31" s="183"/>
      <c r="E31" s="1"/>
      <c r="F31" s="12"/>
      <c r="G31" s="10"/>
      <c r="M31" s="483"/>
    </row>
    <row r="32" spans="1:13" s="32" customFormat="1" ht="15">
      <c r="A32" s="71"/>
      <c r="B32" s="31"/>
      <c r="C32" s="31"/>
      <c r="E32" s="1"/>
      <c r="F32" s="12"/>
      <c r="G32" s="10"/>
      <c r="M32" s="484"/>
    </row>
    <row r="33" spans="1:13" s="32" customFormat="1" ht="12.75" thickBot="1">
      <c r="A33" s="30"/>
      <c r="B33" s="31"/>
      <c r="C33" s="31"/>
      <c r="E33" s="30"/>
      <c r="F33" s="31"/>
      <c r="G33" s="31"/>
      <c r="M33" s="484"/>
    </row>
    <row r="34" spans="1:13">
      <c r="B34" s="280"/>
      <c r="C34" s="281"/>
      <c r="G34" s="281"/>
    </row>
    <row r="35" spans="1:13" s="32" customFormat="1">
      <c r="A35" s="239" t="s">
        <v>9</v>
      </c>
      <c r="B35" s="313">
        <f t="shared" ref="B35:B43" si="3">B9</f>
        <v>3045.150096208823</v>
      </c>
      <c r="C35" s="283">
        <f>B35/$B$46</f>
        <v>0.30102739512414273</v>
      </c>
      <c r="E35" s="239" t="s">
        <v>9</v>
      </c>
      <c r="F35" s="240">
        <v>6897.5175063077559</v>
      </c>
      <c r="G35" s="283">
        <v>0.45480860832773023</v>
      </c>
    </row>
    <row r="36" spans="1:13" s="32" customFormat="1">
      <c r="A36" s="239" t="s">
        <v>16</v>
      </c>
      <c r="B36" s="313">
        <f t="shared" si="3"/>
        <v>1704.0976519018245</v>
      </c>
      <c r="C36" s="283">
        <f t="shared" ref="C36:C43" si="4">B36/$B$46</f>
        <v>0.16845805985978449</v>
      </c>
      <c r="E36" s="239" t="s">
        <v>16</v>
      </c>
      <c r="F36" s="240">
        <v>5333.5725486439305</v>
      </c>
      <c r="G36" s="283">
        <v>0.35168518326272996</v>
      </c>
    </row>
    <row r="37" spans="1:13" s="32" customFormat="1">
      <c r="A37" s="239" t="s">
        <v>19</v>
      </c>
      <c r="B37" s="313">
        <f t="shared" si="3"/>
        <v>507.33184782079519</v>
      </c>
      <c r="C37" s="283">
        <f t="shared" si="4"/>
        <v>5.0152136935104646E-2</v>
      </c>
      <c r="E37" s="239" t="s">
        <v>25</v>
      </c>
      <c r="F37" s="240">
        <v>1178.7959383468938</v>
      </c>
      <c r="G37" s="283">
        <v>7.7727463501418556E-2</v>
      </c>
    </row>
    <row r="38" spans="1:13" s="32" customFormat="1">
      <c r="A38" s="239" t="s">
        <v>22</v>
      </c>
      <c r="B38" s="313">
        <f t="shared" si="3"/>
        <v>23.796946147768001</v>
      </c>
      <c r="C38" s="283">
        <f t="shared" si="4"/>
        <v>2.3524399403794974E-3</v>
      </c>
      <c r="E38" s="239" t="s">
        <v>19</v>
      </c>
      <c r="F38" s="240">
        <v>982.48300990799225</v>
      </c>
      <c r="G38" s="283">
        <v>6.478297880842758E-2</v>
      </c>
    </row>
    <row r="39" spans="1:13" s="32" customFormat="1">
      <c r="A39" s="239" t="s">
        <v>25</v>
      </c>
      <c r="B39" s="313">
        <f t="shared" si="3"/>
        <v>334.90802956498641</v>
      </c>
      <c r="C39" s="283">
        <f t="shared" si="4"/>
        <v>3.3107232340245762E-2</v>
      </c>
      <c r="E39" s="239" t="s">
        <v>26</v>
      </c>
      <c r="F39" s="240">
        <v>247.58797021279898</v>
      </c>
      <c r="G39" s="283">
        <v>1.632545913340468E-2</v>
      </c>
    </row>
    <row r="40" spans="1:13" s="32" customFormat="1">
      <c r="A40" s="239" t="s">
        <v>26</v>
      </c>
      <c r="B40" s="313">
        <f t="shared" si="3"/>
        <v>154.18140422851201</v>
      </c>
      <c r="C40" s="283">
        <f t="shared" si="4"/>
        <v>1.52415562534257E-2</v>
      </c>
      <c r="E40" s="239" t="s">
        <v>27</v>
      </c>
      <c r="F40" s="240">
        <v>237.03748869093548</v>
      </c>
      <c r="G40" s="283">
        <v>1.562978133138997E-2</v>
      </c>
    </row>
    <row r="41" spans="1:13" s="32" customFormat="1">
      <c r="A41" s="239" t="s">
        <v>27</v>
      </c>
      <c r="B41" s="313">
        <f t="shared" si="3"/>
        <v>90.471681848412146</v>
      </c>
      <c r="C41" s="283">
        <f t="shared" si="4"/>
        <v>8.9435508460598643E-3</v>
      </c>
      <c r="E41" s="239" t="s">
        <v>29</v>
      </c>
      <c r="F41" s="240">
        <v>195.65920941493385</v>
      </c>
      <c r="G41" s="283">
        <v>1.2901379758606085E-2</v>
      </c>
    </row>
    <row r="42" spans="1:13" s="32" customFormat="1">
      <c r="A42" s="239" t="s">
        <v>29</v>
      </c>
      <c r="B42" s="313">
        <f t="shared" si="3"/>
        <v>70.290915668783853</v>
      </c>
      <c r="C42" s="283">
        <f t="shared" si="4"/>
        <v>6.9485872867180234E-3</v>
      </c>
      <c r="E42" s="239" t="s">
        <v>22</v>
      </c>
      <c r="F42" s="240">
        <v>86.525291018375</v>
      </c>
      <c r="G42" s="283">
        <v>5.7053058810262267E-3</v>
      </c>
    </row>
    <row r="43" spans="1:13" s="32" customFormat="1">
      <c r="A43" s="239" t="s">
        <v>32</v>
      </c>
      <c r="B43" s="313">
        <f t="shared" si="3"/>
        <v>9.2751523312161481</v>
      </c>
      <c r="C43" s="283">
        <f t="shared" si="4"/>
        <v>9.1689238869431056E-4</v>
      </c>
      <c r="E43" s="239" t="s">
        <v>32</v>
      </c>
      <c r="F43" s="240">
        <v>6.5795125850661353</v>
      </c>
      <c r="G43" s="283">
        <v>4.338399952667259E-4</v>
      </c>
    </row>
    <row r="44" spans="1:13" s="32" customFormat="1" ht="12.75" thickBot="1">
      <c r="A44" s="239"/>
      <c r="B44" s="314"/>
      <c r="C44" s="285"/>
      <c r="E44" s="239"/>
      <c r="F44" s="240"/>
      <c r="G44" s="285"/>
    </row>
    <row r="45" spans="1:13">
      <c r="A45" s="61"/>
      <c r="B45" s="14"/>
      <c r="C45" s="21"/>
      <c r="E45" s="61"/>
      <c r="F45" s="14"/>
      <c r="G45" s="21"/>
    </row>
    <row r="46" spans="1:13">
      <c r="A46" s="62" t="s">
        <v>391</v>
      </c>
      <c r="B46" s="17">
        <f>'03.2 PARTICP. EXPORTACIONES'!M24</f>
        <v>10115.857046675146</v>
      </c>
      <c r="C46" s="287">
        <v>1</v>
      </c>
      <c r="E46" s="62" t="s">
        <v>75</v>
      </c>
      <c r="F46" s="17">
        <f>SUM(F35:F45)</f>
        <v>15165.758475128681</v>
      </c>
      <c r="G46" s="63">
        <v>1</v>
      </c>
    </row>
    <row r="47" spans="1:13">
      <c r="A47" s="74"/>
      <c r="B47" s="72"/>
      <c r="E47" s="74"/>
      <c r="F47" s="72"/>
    </row>
    <row r="51" spans="1:7" ht="11.45" customHeight="1">
      <c r="A51" s="5" t="s">
        <v>31</v>
      </c>
      <c r="B51" s="9"/>
      <c r="C51" s="9"/>
      <c r="E51" s="5" t="s">
        <v>31</v>
      </c>
      <c r="F51" s="9"/>
      <c r="G51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C00000"/>
    <pageSetUpPr fitToPage="1"/>
  </sheetPr>
  <dimension ref="A1:L39"/>
  <sheetViews>
    <sheetView zoomScale="145" zoomScaleNormal="145" workbookViewId="0">
      <pane ySplit="6" topLeftCell="A10" activePane="bottomLeft" state="frozen"/>
      <selection activeCell="B24" sqref="B24"/>
      <selection pane="bottomLeft" activeCell="B41" sqref="B41"/>
    </sheetView>
  </sheetViews>
  <sheetFormatPr baseColWidth="10" defaultColWidth="11.5703125" defaultRowHeight="12"/>
  <cols>
    <col min="1" max="1" width="11.85546875" style="7" customWidth="1"/>
    <col min="2" max="9" width="14.7109375" style="7" customWidth="1"/>
    <col min="10" max="16384" width="11.5703125" style="3"/>
  </cols>
  <sheetData>
    <row r="1" spans="1:9">
      <c r="A1" s="152" t="s">
        <v>395</v>
      </c>
    </row>
    <row r="4" spans="1:9">
      <c r="A4" s="233" t="s">
        <v>306</v>
      </c>
      <c r="B4" s="233" t="s">
        <v>307</v>
      </c>
      <c r="C4" s="233" t="s">
        <v>308</v>
      </c>
      <c r="D4" s="233" t="s">
        <v>309</v>
      </c>
      <c r="E4" s="233" t="s">
        <v>310</v>
      </c>
      <c r="F4" s="233" t="s">
        <v>311</v>
      </c>
      <c r="G4" s="233" t="s">
        <v>312</v>
      </c>
      <c r="H4" s="233" t="s">
        <v>313</v>
      </c>
      <c r="I4" s="233" t="s">
        <v>314</v>
      </c>
    </row>
    <row r="5" spans="1:9">
      <c r="B5" s="8" t="s">
        <v>315</v>
      </c>
      <c r="C5" s="6" t="s">
        <v>316</v>
      </c>
      <c r="D5" s="8" t="s">
        <v>315</v>
      </c>
      <c r="E5" s="231" t="s">
        <v>316</v>
      </c>
      <c r="F5" s="8" t="s">
        <v>315</v>
      </c>
      <c r="G5" s="231" t="s">
        <v>315</v>
      </c>
      <c r="H5" s="8" t="s">
        <v>317</v>
      </c>
      <c r="I5" s="231" t="s">
        <v>318</v>
      </c>
    </row>
    <row r="6" spans="1:9">
      <c r="B6" s="8" t="s">
        <v>368</v>
      </c>
      <c r="C6" s="6" t="s">
        <v>369</v>
      </c>
      <c r="D6" s="8" t="s">
        <v>368</v>
      </c>
      <c r="E6" s="231" t="s">
        <v>370</v>
      </c>
      <c r="F6" s="8" t="s">
        <v>368</v>
      </c>
      <c r="G6" s="231" t="s">
        <v>368</v>
      </c>
      <c r="H6" s="8" t="s">
        <v>387</v>
      </c>
      <c r="I6" s="231" t="s">
        <v>388</v>
      </c>
    </row>
    <row r="7" spans="1:9">
      <c r="B7" s="8"/>
      <c r="C7" s="6"/>
      <c r="D7" s="8"/>
      <c r="E7" s="231"/>
      <c r="F7" s="8"/>
      <c r="G7" s="231"/>
      <c r="H7" s="8"/>
      <c r="I7" s="231"/>
    </row>
    <row r="8" spans="1:9" ht="10.15" customHeight="1">
      <c r="A8" s="7">
        <v>1995</v>
      </c>
      <c r="B8" s="157">
        <v>133.19999999999999</v>
      </c>
      <c r="C8" s="157">
        <v>384.2</v>
      </c>
      <c r="D8" s="157">
        <v>46.8</v>
      </c>
      <c r="E8" s="157">
        <v>5.19</v>
      </c>
      <c r="F8" s="157">
        <v>28.6</v>
      </c>
      <c r="G8" s="157">
        <v>294.5</v>
      </c>
      <c r="H8" s="157">
        <v>16.5</v>
      </c>
      <c r="I8" s="157">
        <v>7.9</v>
      </c>
    </row>
    <row r="9" spans="1:9" ht="10.15" customHeight="1">
      <c r="A9" s="7">
        <v>1996</v>
      </c>
      <c r="B9" s="157">
        <v>103.89</v>
      </c>
      <c r="C9" s="157">
        <v>387.8</v>
      </c>
      <c r="D9" s="157">
        <v>46.5</v>
      </c>
      <c r="E9" s="157">
        <v>5.18</v>
      </c>
      <c r="F9" s="157">
        <v>35.1</v>
      </c>
      <c r="G9" s="157">
        <v>289</v>
      </c>
      <c r="H9" s="157">
        <v>20.5</v>
      </c>
      <c r="I9" s="157">
        <v>3.78</v>
      </c>
    </row>
    <row r="10" spans="1:9" ht="10.15" customHeight="1">
      <c r="A10" s="7">
        <v>1997</v>
      </c>
      <c r="B10" s="157">
        <v>103.22</v>
      </c>
      <c r="C10" s="157">
        <v>331.2</v>
      </c>
      <c r="D10" s="157">
        <v>59.7</v>
      </c>
      <c r="E10" s="157">
        <v>4.8899999999999997</v>
      </c>
      <c r="F10" s="157">
        <v>28</v>
      </c>
      <c r="G10" s="157">
        <v>264.39999999999998</v>
      </c>
      <c r="H10" s="157">
        <v>20.100000000000001</v>
      </c>
      <c r="I10" s="157">
        <v>4.3</v>
      </c>
    </row>
    <row r="11" spans="1:9" ht="10.15" customHeight="1">
      <c r="A11" s="7">
        <v>1998</v>
      </c>
      <c r="B11" s="157">
        <v>74.97</v>
      </c>
      <c r="C11" s="157">
        <v>294.10000000000002</v>
      </c>
      <c r="D11" s="157">
        <v>46.5</v>
      </c>
      <c r="E11" s="157">
        <v>5.53</v>
      </c>
      <c r="F11" s="157">
        <v>24</v>
      </c>
      <c r="G11" s="157">
        <v>261.39999999999998</v>
      </c>
      <c r="H11" s="157">
        <v>21</v>
      </c>
      <c r="I11" s="157">
        <v>3.41</v>
      </c>
    </row>
    <row r="12" spans="1:9" ht="10.15" customHeight="1">
      <c r="A12" s="7">
        <v>1999</v>
      </c>
      <c r="B12" s="157">
        <v>71.38</v>
      </c>
      <c r="C12" s="157">
        <v>278.8</v>
      </c>
      <c r="D12" s="157">
        <v>48.8</v>
      </c>
      <c r="E12" s="157">
        <v>5.25</v>
      </c>
      <c r="F12" s="157">
        <v>22.8</v>
      </c>
      <c r="G12" s="157">
        <v>254.4</v>
      </c>
      <c r="H12" s="157">
        <v>17.399999999999999</v>
      </c>
      <c r="I12" s="157">
        <v>2.65</v>
      </c>
    </row>
    <row r="13" spans="1:9" ht="10.15" customHeight="1">
      <c r="A13" s="7">
        <v>2000</v>
      </c>
      <c r="B13" s="157">
        <v>82.29</v>
      </c>
      <c r="C13" s="157">
        <v>279</v>
      </c>
      <c r="D13" s="157">
        <v>51.2</v>
      </c>
      <c r="E13" s="157">
        <v>5</v>
      </c>
      <c r="F13" s="157">
        <v>20.6</v>
      </c>
      <c r="G13" s="157">
        <v>253.4</v>
      </c>
      <c r="H13" s="157">
        <v>18.5</v>
      </c>
      <c r="I13" s="157">
        <v>2.5499999999999998</v>
      </c>
    </row>
    <row r="14" spans="1:9" ht="10.15" customHeight="1">
      <c r="A14" s="7">
        <v>2001</v>
      </c>
      <c r="B14" s="157">
        <v>71.569999999999993</v>
      </c>
      <c r="C14" s="157">
        <v>271.14</v>
      </c>
      <c r="D14" s="157">
        <v>40.200000000000003</v>
      </c>
      <c r="E14" s="157">
        <v>4.37</v>
      </c>
      <c r="F14" s="157">
        <v>21.59</v>
      </c>
      <c r="G14" s="157" t="s">
        <v>371</v>
      </c>
      <c r="H14" s="157">
        <v>19.399999999999999</v>
      </c>
      <c r="I14" s="157">
        <v>2.36</v>
      </c>
    </row>
    <row r="15" spans="1:9" ht="10.15" customHeight="1">
      <c r="A15" s="7">
        <v>2002</v>
      </c>
      <c r="B15" s="157">
        <v>70.650000000000006</v>
      </c>
      <c r="C15" s="157">
        <v>310.01</v>
      </c>
      <c r="D15" s="157">
        <v>35.31</v>
      </c>
      <c r="E15" s="157">
        <v>4.5999999999999996</v>
      </c>
      <c r="F15" s="157">
        <v>20.53</v>
      </c>
      <c r="G15" s="157" t="s">
        <v>372</v>
      </c>
      <c r="H15" s="157">
        <v>19</v>
      </c>
      <c r="I15" s="157">
        <v>3.77</v>
      </c>
    </row>
    <row r="16" spans="1:9" ht="10.15" customHeight="1">
      <c r="A16" s="7">
        <v>2003</v>
      </c>
      <c r="B16" s="157">
        <v>80.73</v>
      </c>
      <c r="C16" s="157">
        <v>363.78</v>
      </c>
      <c r="D16" s="157">
        <v>37.58</v>
      </c>
      <c r="E16" s="157">
        <v>4.88</v>
      </c>
      <c r="F16" s="157">
        <v>23.39</v>
      </c>
      <c r="G16" s="157" t="s">
        <v>373</v>
      </c>
      <c r="H16" s="157">
        <v>15.9</v>
      </c>
      <c r="I16" s="157">
        <v>5.32</v>
      </c>
    </row>
    <row r="17" spans="1:12" ht="10.15" customHeight="1">
      <c r="A17" s="7">
        <v>2004</v>
      </c>
      <c r="B17" s="157">
        <v>130.22</v>
      </c>
      <c r="C17" s="157">
        <v>409.56</v>
      </c>
      <c r="D17" s="157">
        <v>47.53</v>
      </c>
      <c r="E17" s="157">
        <v>6.66</v>
      </c>
      <c r="F17" s="157">
        <v>40.29</v>
      </c>
      <c r="G17" s="157" t="s">
        <v>374</v>
      </c>
      <c r="H17" s="157">
        <v>21.5</v>
      </c>
      <c r="I17" s="157">
        <v>16.420000000000002</v>
      </c>
    </row>
    <row r="18" spans="1:12" ht="10.15" customHeight="1">
      <c r="A18" s="7">
        <v>2005</v>
      </c>
      <c r="B18" s="157">
        <v>167.09</v>
      </c>
      <c r="C18" s="157">
        <v>444.99</v>
      </c>
      <c r="D18" s="157">
        <v>62.68</v>
      </c>
      <c r="E18" s="157">
        <v>7.31</v>
      </c>
      <c r="F18" s="157">
        <v>44.24</v>
      </c>
      <c r="G18" s="157" t="s">
        <v>375</v>
      </c>
      <c r="H18" s="157">
        <v>32.700000000000003</v>
      </c>
      <c r="I18" s="157">
        <v>31.73</v>
      </c>
    </row>
    <row r="19" spans="1:12" ht="10.15" customHeight="1">
      <c r="A19" s="7">
        <v>2006</v>
      </c>
      <c r="B19" s="157">
        <v>305.29000000000002</v>
      </c>
      <c r="C19" s="157">
        <v>604.34</v>
      </c>
      <c r="D19" s="157">
        <v>148.75</v>
      </c>
      <c r="E19" s="157">
        <v>11.55</v>
      </c>
      <c r="F19" s="157">
        <v>58.5</v>
      </c>
      <c r="G19" s="157" t="s">
        <v>376</v>
      </c>
      <c r="H19" s="157">
        <v>37.4</v>
      </c>
      <c r="I19" s="157">
        <v>24.75</v>
      </c>
    </row>
    <row r="20" spans="1:12" ht="10.15" customHeight="1">
      <c r="A20" s="7">
        <v>2007</v>
      </c>
      <c r="B20" s="157">
        <v>323.25</v>
      </c>
      <c r="C20" s="157">
        <v>696.43</v>
      </c>
      <c r="D20" s="157">
        <v>147.24</v>
      </c>
      <c r="E20" s="157">
        <v>13.38</v>
      </c>
      <c r="F20" s="157">
        <v>118.41</v>
      </c>
      <c r="G20" s="157" t="s">
        <v>377</v>
      </c>
      <c r="H20" s="157">
        <v>39.840000000000003</v>
      </c>
      <c r="I20" s="157">
        <v>30.17</v>
      </c>
    </row>
    <row r="21" spans="1:12" ht="10.15" customHeight="1">
      <c r="A21" s="7">
        <v>2008</v>
      </c>
      <c r="B21" s="157">
        <v>315.32</v>
      </c>
      <c r="C21" s="157">
        <v>872.37</v>
      </c>
      <c r="D21" s="157">
        <v>84.82</v>
      </c>
      <c r="E21" s="157">
        <v>14.99</v>
      </c>
      <c r="F21" s="157">
        <v>94.56</v>
      </c>
      <c r="G21" s="157" t="s">
        <v>378</v>
      </c>
      <c r="H21" s="157">
        <v>57.5</v>
      </c>
      <c r="I21" s="157">
        <v>28.74</v>
      </c>
    </row>
    <row r="22" spans="1:12" ht="10.15" customHeight="1">
      <c r="A22" s="7">
        <v>2009</v>
      </c>
      <c r="B22" s="157">
        <v>234.22</v>
      </c>
      <c r="C22" s="157">
        <v>973.66</v>
      </c>
      <c r="D22" s="157">
        <v>75.25</v>
      </c>
      <c r="E22" s="157">
        <v>14.67</v>
      </c>
      <c r="F22" s="157">
        <v>78.3</v>
      </c>
      <c r="G22" s="157" t="s">
        <v>379</v>
      </c>
      <c r="H22" s="157">
        <v>43.78</v>
      </c>
      <c r="I22" s="157">
        <v>11.12</v>
      </c>
    </row>
    <row r="23" spans="1:12" ht="10.15" customHeight="1">
      <c r="A23" s="7">
        <v>2010</v>
      </c>
      <c r="B23" s="157">
        <v>341.98</v>
      </c>
      <c r="C23" s="157">
        <v>1226.6600000000001</v>
      </c>
      <c r="D23" s="157">
        <v>97.92</v>
      </c>
      <c r="E23" s="157">
        <v>20.190000000000001</v>
      </c>
      <c r="F23" s="157">
        <v>97.41</v>
      </c>
      <c r="G23" s="157" t="s">
        <v>380</v>
      </c>
      <c r="H23" s="157">
        <v>68.17</v>
      </c>
      <c r="I23" s="157">
        <v>15.8</v>
      </c>
    </row>
    <row r="24" spans="1:12" ht="10.15" customHeight="1">
      <c r="A24" s="7">
        <v>2011</v>
      </c>
      <c r="B24" s="157">
        <v>399.66</v>
      </c>
      <c r="C24" s="157">
        <v>1573.16</v>
      </c>
      <c r="D24" s="157">
        <v>99.36</v>
      </c>
      <c r="E24" s="157">
        <v>35.119999999999997</v>
      </c>
      <c r="F24" s="157">
        <v>108.76</v>
      </c>
      <c r="G24" s="157" t="s">
        <v>381</v>
      </c>
      <c r="H24" s="157">
        <v>167.79</v>
      </c>
      <c r="I24" s="157">
        <v>15.45</v>
      </c>
    </row>
    <row r="25" spans="1:12" ht="10.15" customHeight="1">
      <c r="A25" s="7">
        <v>2012</v>
      </c>
      <c r="B25" s="157">
        <v>360.59</v>
      </c>
      <c r="C25" s="157">
        <v>1668.86</v>
      </c>
      <c r="D25" s="157">
        <v>88.29</v>
      </c>
      <c r="E25" s="157">
        <v>31.15</v>
      </c>
      <c r="F25" s="157">
        <v>93.5</v>
      </c>
      <c r="G25" s="157" t="s">
        <v>382</v>
      </c>
      <c r="H25" s="157">
        <v>128.53</v>
      </c>
      <c r="I25" s="157">
        <v>12.74</v>
      </c>
    </row>
    <row r="26" spans="1:12" ht="10.15" customHeight="1">
      <c r="A26" s="7">
        <v>2013</v>
      </c>
      <c r="B26" s="157">
        <v>332.12</v>
      </c>
      <c r="C26" s="157">
        <v>1409.51</v>
      </c>
      <c r="D26" s="157">
        <v>86.59</v>
      </c>
      <c r="E26" s="157">
        <v>23.79</v>
      </c>
      <c r="F26" s="157">
        <v>97.12</v>
      </c>
      <c r="G26" s="157" t="s">
        <v>383</v>
      </c>
      <c r="H26" s="157">
        <v>135.36000000000001</v>
      </c>
      <c r="I26" s="157">
        <v>10.32</v>
      </c>
    </row>
    <row r="27" spans="1:12" ht="10.15" customHeight="1">
      <c r="A27" s="7">
        <v>2014</v>
      </c>
      <c r="B27" s="157">
        <v>311.26</v>
      </c>
      <c r="C27" s="157">
        <v>1266.06</v>
      </c>
      <c r="D27" s="157">
        <v>98.18</v>
      </c>
      <c r="E27" s="157">
        <v>19.079999999999998</v>
      </c>
      <c r="F27" s="157">
        <v>95.07</v>
      </c>
      <c r="G27" s="157" t="s">
        <v>384</v>
      </c>
      <c r="H27" s="157">
        <v>96.84</v>
      </c>
      <c r="I27" s="157">
        <v>11.393000000000001</v>
      </c>
    </row>
    <row r="28" spans="1:12" ht="10.15" customHeight="1">
      <c r="A28" s="7">
        <v>2015</v>
      </c>
      <c r="B28" s="157">
        <v>249.23</v>
      </c>
      <c r="C28" s="157">
        <v>1159.82</v>
      </c>
      <c r="D28" s="157">
        <v>87.47</v>
      </c>
      <c r="E28" s="157">
        <v>15.68</v>
      </c>
      <c r="F28" s="157">
        <v>80.900000000000006</v>
      </c>
      <c r="G28" s="157" t="s">
        <v>385</v>
      </c>
      <c r="H28" s="157">
        <v>55.21</v>
      </c>
      <c r="I28" s="157">
        <v>6.6520000000000001</v>
      </c>
      <c r="J28" s="10"/>
    </row>
    <row r="29" spans="1:12" ht="10.15" customHeight="1">
      <c r="A29" s="7">
        <v>2016</v>
      </c>
      <c r="B29" s="157">
        <v>220.59249999999997</v>
      </c>
      <c r="C29" s="157">
        <v>1248.1625000000001</v>
      </c>
      <c r="D29" s="157">
        <v>94.832499999999996</v>
      </c>
      <c r="E29" s="157">
        <v>17.14</v>
      </c>
      <c r="F29" s="157">
        <v>84.89</v>
      </c>
      <c r="G29" s="157" t="s">
        <v>386</v>
      </c>
      <c r="H29" s="157">
        <v>57.705833333333345</v>
      </c>
      <c r="I29" s="157">
        <v>6.4840833333333334</v>
      </c>
    </row>
    <row r="30" spans="1:12" s="10" customFormat="1" ht="10.9" customHeight="1">
      <c r="A30" s="16">
        <v>2017</v>
      </c>
      <c r="B30" s="257">
        <v>262.23837329982285</v>
      </c>
      <c r="C30" s="257">
        <v>1236.7815281880589</v>
      </c>
      <c r="D30" s="257">
        <v>123.36653957561612</v>
      </c>
      <c r="E30" s="257">
        <v>17.4989395256917</v>
      </c>
      <c r="F30" s="257">
        <v>102.77343493740241</v>
      </c>
      <c r="G30" s="257">
        <v>907.65283185066858</v>
      </c>
      <c r="H30" s="257">
        <f>AVERAGE(H31:H33)</f>
        <v>85.606666666666669</v>
      </c>
      <c r="I30" s="257">
        <f>AVERAGE(I31:I33)</f>
        <v>7.4719999999999995</v>
      </c>
      <c r="J30" s="3"/>
      <c r="K30" s="3"/>
      <c r="L30" s="3"/>
    </row>
    <row r="31" spans="1:12" s="10" customFormat="1" ht="10.9" customHeight="1">
      <c r="A31" s="12" t="s">
        <v>263</v>
      </c>
      <c r="B31" s="18">
        <v>259.75791781449993</v>
      </c>
      <c r="C31" s="18">
        <v>1191.113636363636</v>
      </c>
      <c r="D31" s="18">
        <v>122.48231060099998</v>
      </c>
      <c r="E31" s="18">
        <v>16.857045454545453</v>
      </c>
      <c r="F31" s="18">
        <v>100.93564213424999</v>
      </c>
      <c r="G31" s="18">
        <v>941.91548305749973</v>
      </c>
      <c r="H31" s="18">
        <v>80.819999999999993</v>
      </c>
      <c r="I31" s="18">
        <v>7.3049999999999997</v>
      </c>
      <c r="J31" s="3"/>
      <c r="K31" s="3"/>
      <c r="L31" s="3"/>
    </row>
    <row r="32" spans="1:12" s="10" customFormat="1" ht="10.9" customHeight="1">
      <c r="A32" s="12" t="s">
        <v>264</v>
      </c>
      <c r="B32" s="18">
        <v>269.50417459735002</v>
      </c>
      <c r="C32" s="18">
        <v>1234.3400000000001</v>
      </c>
      <c r="D32" s="18">
        <v>129.03682343667498</v>
      </c>
      <c r="E32" s="18">
        <v>17.939500000000002</v>
      </c>
      <c r="F32" s="18">
        <v>105.31167452382502</v>
      </c>
      <c r="G32" s="18">
        <v>884.11956798549977</v>
      </c>
      <c r="H32" s="18">
        <v>88.8</v>
      </c>
      <c r="I32" s="18">
        <v>7.6390000000000002</v>
      </c>
      <c r="J32" s="3"/>
      <c r="K32" s="3"/>
      <c r="L32" s="3"/>
    </row>
    <row r="33" spans="1:12" s="10" customFormat="1" ht="10.9" customHeight="1">
      <c r="A33" s="12" t="s">
        <v>265</v>
      </c>
      <c r="B33" s="18">
        <v>264.0597842658695</v>
      </c>
      <c r="C33" s="18">
        <v>1231.0934782608692</v>
      </c>
      <c r="D33" s="18">
        <v>126.27814366726084</v>
      </c>
      <c r="E33" s="18">
        <v>17.630652173913042</v>
      </c>
      <c r="F33" s="18">
        <v>103.29678763417394</v>
      </c>
      <c r="G33" s="18">
        <v>899.54269463586957</v>
      </c>
      <c r="H33" s="18">
        <v>87.2</v>
      </c>
      <c r="I33" s="18" t="s">
        <v>393</v>
      </c>
      <c r="J33" s="3"/>
      <c r="K33" s="3"/>
      <c r="L33" s="3"/>
    </row>
    <row r="34" spans="1:12" s="10" customFormat="1" ht="10.9" customHeight="1">
      <c r="A34" s="12" t="s">
        <v>367</v>
      </c>
      <c r="B34" s="18">
        <v>258.52855227389477</v>
      </c>
      <c r="C34" s="18">
        <v>1266.4105263157892</v>
      </c>
      <c r="D34" s="18">
        <v>119.32105392089474</v>
      </c>
      <c r="E34" s="18">
        <v>18.05</v>
      </c>
      <c r="F34" s="18">
        <v>101.58439858976314</v>
      </c>
      <c r="G34" s="18">
        <v>906.63565449947362</v>
      </c>
      <c r="H34" s="18" t="s">
        <v>393</v>
      </c>
      <c r="I34" s="18" t="s">
        <v>393</v>
      </c>
      <c r="J34" s="3"/>
      <c r="K34" s="3"/>
      <c r="L34" s="3"/>
    </row>
    <row r="36" spans="1:12" s="254" customFormat="1" ht="9" customHeight="1">
      <c r="A36" s="253" t="s">
        <v>319</v>
      </c>
      <c r="B36" s="253"/>
      <c r="C36" s="253"/>
      <c r="D36" s="253"/>
      <c r="E36" s="253"/>
      <c r="F36" s="253"/>
      <c r="G36" s="253"/>
      <c r="H36" s="253"/>
      <c r="I36" s="253"/>
    </row>
    <row r="37" spans="1:12" s="254" customFormat="1" ht="9" customHeight="1">
      <c r="A37" s="255" t="s">
        <v>320</v>
      </c>
      <c r="B37" s="255"/>
      <c r="C37" s="255"/>
      <c r="D37" s="255"/>
      <c r="E37" s="255"/>
      <c r="F37" s="255"/>
      <c r="G37" s="255"/>
      <c r="H37" s="255"/>
      <c r="I37" s="255"/>
    </row>
    <row r="38" spans="1:12" s="254" customFormat="1" ht="9" customHeight="1">
      <c r="A38" s="255" t="s">
        <v>321</v>
      </c>
      <c r="B38" s="255"/>
      <c r="C38" s="255"/>
      <c r="D38" s="255"/>
      <c r="E38" s="255"/>
      <c r="F38" s="255"/>
      <c r="G38" s="255"/>
      <c r="H38" s="255"/>
      <c r="I38" s="255"/>
    </row>
    <row r="39" spans="1:12" s="254" customFormat="1" ht="9" customHeight="1">
      <c r="A39" s="256" t="s">
        <v>322</v>
      </c>
      <c r="B39" s="256"/>
      <c r="C39" s="256"/>
      <c r="D39" s="256"/>
      <c r="E39" s="256"/>
      <c r="F39" s="256"/>
      <c r="G39" s="256"/>
      <c r="H39" s="256"/>
      <c r="I39" s="256"/>
    </row>
  </sheetData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K53"/>
  <sheetViews>
    <sheetView zoomScale="115" zoomScaleNormal="115" workbookViewId="0">
      <selection activeCell="A34" sqref="A8:K34"/>
    </sheetView>
  </sheetViews>
  <sheetFormatPr baseColWidth="10" defaultColWidth="11.5703125" defaultRowHeight="12"/>
  <cols>
    <col min="1" max="1" width="17" style="10" customWidth="1"/>
    <col min="2" max="5" width="17.7109375" style="18" customWidth="1"/>
    <col min="6" max="11" width="17.7109375" style="12" customWidth="1"/>
    <col min="12" max="16384" width="11.5703125" style="10"/>
  </cols>
  <sheetData>
    <row r="1" spans="1:11" ht="15">
      <c r="A1" s="34" t="s">
        <v>232</v>
      </c>
    </row>
    <row r="2" spans="1:11" ht="15">
      <c r="A2" s="34" t="s">
        <v>149</v>
      </c>
    </row>
    <row r="3" spans="1:11">
      <c r="A3" s="33" t="s">
        <v>86</v>
      </c>
      <c r="G3" s="28"/>
      <c r="H3" s="28"/>
    </row>
    <row r="4" spans="1:11">
      <c r="A4" s="58"/>
      <c r="G4" s="28"/>
      <c r="H4" s="28"/>
    </row>
    <row r="6" spans="1:11">
      <c r="E6" s="12"/>
    </row>
    <row r="7" spans="1:11">
      <c r="A7" s="186" t="s">
        <v>234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1414622.5998</v>
      </c>
      <c r="C8" s="36">
        <v>2037639.677724174</v>
      </c>
      <c r="D8" s="36">
        <v>2682789.5075251227</v>
      </c>
      <c r="E8" s="36">
        <v>2917749.7190824146</v>
      </c>
      <c r="F8" s="36">
        <v>2885886.5143818362</v>
      </c>
      <c r="G8" s="36">
        <v>2599069.3519712551</v>
      </c>
      <c r="H8" s="36">
        <v>1825852.0229200001</v>
      </c>
      <c r="I8" s="36">
        <v>1957001.2064799997</v>
      </c>
      <c r="J8" s="36">
        <f>'08.2 TRANSF. CANON'!J6+'08.3 REGALIAS MINERAS'!J7+'08.4 DER. VIGENCIA PENALIDAD'!J8</f>
        <v>1553579.1421999999</v>
      </c>
      <c r="K8" s="36">
        <f>'08.2 TRANSF. CANON'!K6+'08.3 REGALIAS MINERAS'!K7+'08.4 DER. VIGENCIA PENALIDAD'!K8</f>
        <v>151300.03519999998</v>
      </c>
    </row>
    <row r="9" spans="1:11">
      <c r="A9" s="33" t="s">
        <v>88</v>
      </c>
      <c r="B9" s="36">
        <v>1639695237.9955001</v>
      </c>
      <c r="C9" s="36">
        <v>1332321905.4593287</v>
      </c>
      <c r="D9" s="36">
        <v>864662329.54954934</v>
      </c>
      <c r="E9" s="36">
        <v>794731907.03502786</v>
      </c>
      <c r="F9" s="36">
        <v>770582075.2986815</v>
      </c>
      <c r="G9" s="36">
        <v>1015864460.7110069</v>
      </c>
      <c r="H9" s="36">
        <v>1019235893.7081801</v>
      </c>
      <c r="I9" s="36">
        <v>748108985.37879992</v>
      </c>
      <c r="J9" s="36">
        <f>'08.2 TRANSF. CANON'!J7+'08.3 REGALIAS MINERAS'!J8+'08.4 DER. VIGENCIA PENALIDAD'!J9</f>
        <v>397241204.42621374</v>
      </c>
      <c r="K9" s="36">
        <f>'08.2 TRANSF. CANON'!K7+'08.3 REGALIAS MINERAS'!K8+'08.4 DER. VIGENCIA PENALIDAD'!K9</f>
        <v>92969283.611200005</v>
      </c>
    </row>
    <row r="10" spans="1:11">
      <c r="A10" s="33" t="s">
        <v>89</v>
      </c>
      <c r="B10" s="36">
        <v>30546062.279300001</v>
      </c>
      <c r="C10" s="36">
        <v>32235283.902984001</v>
      </c>
      <c r="D10" s="36">
        <v>17362096.381994702</v>
      </c>
      <c r="E10" s="36">
        <v>7456590.0871504145</v>
      </c>
      <c r="F10" s="36">
        <v>10352473.908096461</v>
      </c>
      <c r="G10" s="36">
        <v>16258265.793091137</v>
      </c>
      <c r="H10" s="36">
        <v>23194328.631980002</v>
      </c>
      <c r="I10" s="36">
        <v>12359816.467359999</v>
      </c>
      <c r="J10" s="36">
        <f>'08.2 TRANSF. CANON'!J8+'08.3 REGALIAS MINERAS'!J9+'08.4 DER. VIGENCIA PENALIDAD'!J10</f>
        <v>21528301.033251449</v>
      </c>
      <c r="K10" s="36">
        <f>'08.2 TRANSF. CANON'!K8+'08.3 REGALIAS MINERAS'!K9+'08.4 DER. VIGENCIA PENALIDAD'!K10</f>
        <v>3975018.4227999998</v>
      </c>
    </row>
    <row r="11" spans="1:11">
      <c r="A11" s="33" t="s">
        <v>90</v>
      </c>
      <c r="B11" s="36">
        <v>184005165.75759998</v>
      </c>
      <c r="C11" s="36">
        <v>501658386.51776475</v>
      </c>
      <c r="D11" s="36">
        <v>581694791.77875829</v>
      </c>
      <c r="E11" s="36">
        <v>412482426.79868722</v>
      </c>
      <c r="F11" s="36">
        <v>743425104.30328166</v>
      </c>
      <c r="G11" s="36">
        <v>834558660.0002594</v>
      </c>
      <c r="H11" s="36">
        <v>495471646.73208004</v>
      </c>
      <c r="I11" s="36">
        <v>465207945.24327993</v>
      </c>
      <c r="J11" s="36">
        <f>'08.2 TRANSF. CANON'!J9+'08.3 REGALIAS MINERAS'!J10+'08.4 DER. VIGENCIA PENALIDAD'!J11</f>
        <v>399551676.75120962</v>
      </c>
      <c r="K11" s="36">
        <f>'08.2 TRANSF. CANON'!K9+'08.3 REGALIAS MINERAS'!K10+'08.4 DER. VIGENCIA PENALIDAD'!K11</f>
        <v>106464815.8022</v>
      </c>
    </row>
    <row r="12" spans="1:11">
      <c r="A12" s="33" t="s">
        <v>91</v>
      </c>
      <c r="B12" s="36">
        <v>28932163.848300003</v>
      </c>
      <c r="C12" s="36">
        <v>51057776.673486635</v>
      </c>
      <c r="D12" s="36">
        <v>20169722.284334257</v>
      </c>
      <c r="E12" s="36">
        <v>56291528.187267631</v>
      </c>
      <c r="F12" s="36">
        <v>93335995.644704983</v>
      </c>
      <c r="G12" s="36">
        <v>103933365.26069061</v>
      </c>
      <c r="H12" s="36">
        <v>35571156.517959997</v>
      </c>
      <c r="I12" s="36">
        <v>22621632.429839998</v>
      </c>
      <c r="J12" s="36">
        <f>'08.2 TRANSF. CANON'!J10+'08.3 REGALIAS MINERAS'!J11+'08.4 DER. VIGENCIA PENALIDAD'!J12</f>
        <v>39934274.274011515</v>
      </c>
      <c r="K12" s="36">
        <f>'08.2 TRANSF. CANON'!K10+'08.3 REGALIAS MINERAS'!K11+'08.4 DER. VIGENCIA PENALIDAD'!K12</f>
        <v>9901897.4070000015</v>
      </c>
    </row>
    <row r="13" spans="1:11">
      <c r="A13" s="33" t="s">
        <v>92</v>
      </c>
      <c r="B13" s="36">
        <v>595177993.87389994</v>
      </c>
      <c r="C13" s="36">
        <v>197276723.27377081</v>
      </c>
      <c r="D13" s="36">
        <v>256033968.55698672</v>
      </c>
      <c r="E13" s="36">
        <v>483863876.18651074</v>
      </c>
      <c r="F13" s="36">
        <v>522692115.35276073</v>
      </c>
      <c r="G13" s="36">
        <v>609316360.66507769</v>
      </c>
      <c r="H13" s="36">
        <v>629747254.67443991</v>
      </c>
      <c r="I13" s="36">
        <v>411623262.44224</v>
      </c>
      <c r="J13" s="36">
        <f>'08.2 TRANSF. CANON'!J11+'08.3 REGALIAS MINERAS'!J12+'08.4 DER. VIGENCIA PENALIDAD'!J13</f>
        <v>278735159.7598567</v>
      </c>
      <c r="K13" s="36">
        <f>'08.2 TRANSF. CANON'!K11+'08.3 REGALIAS MINERAS'!K12+'08.4 DER. VIGENCIA PENALIDAD'!K13</f>
        <v>26547494.658600003</v>
      </c>
    </row>
    <row r="14" spans="1:11">
      <c r="A14" s="33" t="s">
        <v>93</v>
      </c>
      <c r="B14" s="36">
        <v>10757.711800000001</v>
      </c>
      <c r="C14" s="36">
        <v>13186.780776316482</v>
      </c>
      <c r="D14" s="36">
        <v>11277.203526444284</v>
      </c>
      <c r="E14" s="36">
        <v>22442.175658171251</v>
      </c>
      <c r="F14" s="36">
        <v>5142.9157128230454</v>
      </c>
      <c r="G14" s="36">
        <v>8691.0249344109852</v>
      </c>
      <c r="H14" s="36">
        <v>17994.093239999998</v>
      </c>
      <c r="I14" s="36">
        <v>16281.536479999999</v>
      </c>
      <c r="J14" s="36">
        <f>'08.2 TRANSF. CANON'!J12+'08.3 REGALIAS MINERAS'!J13+'08.4 DER. VIGENCIA PENALIDAD'!J14</f>
        <v>33929.913199999995</v>
      </c>
      <c r="K14" s="36">
        <f>'08.2 TRANSF. CANON'!K12+'08.3 REGALIAS MINERAS'!K13+'08.4 DER. VIGENCIA PENALIDAD'!K14</f>
        <v>733.5</v>
      </c>
    </row>
    <row r="15" spans="1:11">
      <c r="A15" s="33" t="s">
        <v>94</v>
      </c>
      <c r="B15" s="36">
        <v>279368425.94409996</v>
      </c>
      <c r="C15" s="36">
        <v>250741998.31695116</v>
      </c>
      <c r="D15" s="36">
        <v>143603003.3838864</v>
      </c>
      <c r="E15" s="36">
        <v>130630809.76498613</v>
      </c>
      <c r="F15" s="36">
        <v>219739294.43000156</v>
      </c>
      <c r="G15" s="36">
        <v>396420696.80841982</v>
      </c>
      <c r="H15" s="36">
        <v>68682450.3002</v>
      </c>
      <c r="I15" s="36">
        <v>150877029.19295999</v>
      </c>
      <c r="J15" s="36">
        <f>'08.2 TRANSF. CANON'!J13+'08.3 REGALIAS MINERAS'!J14+'08.4 DER. VIGENCIA PENALIDAD'!J15</f>
        <v>174060577.87575829</v>
      </c>
      <c r="K15" s="36">
        <f>'08.2 TRANSF. CANON'!K13+'08.3 REGALIAS MINERAS'!K14+'08.4 DER. VIGENCIA PENALIDAD'!K15</f>
        <v>56615047.576200001</v>
      </c>
    </row>
    <row r="16" spans="1:11">
      <c r="A16" s="33" t="s">
        <v>95</v>
      </c>
      <c r="B16" s="36">
        <v>51113647.882200003</v>
      </c>
      <c r="C16" s="36">
        <v>67356765.200979695</v>
      </c>
      <c r="D16" s="36">
        <v>29419025.851064824</v>
      </c>
      <c r="E16" s="36">
        <v>22869908.83790103</v>
      </c>
      <c r="F16" s="36">
        <v>37913552.780751623</v>
      </c>
      <c r="G16" s="36">
        <v>33372077.099185344</v>
      </c>
      <c r="H16" s="36">
        <v>24907916.53678</v>
      </c>
      <c r="I16" s="36">
        <v>18203655.44184</v>
      </c>
      <c r="J16" s="36">
        <f>'08.2 TRANSF. CANON'!J14+'08.3 REGALIAS MINERAS'!J15+'08.4 DER. VIGENCIA PENALIDAD'!J16</f>
        <v>15202766.473095506</v>
      </c>
      <c r="K16" s="36">
        <f>'08.2 TRANSF. CANON'!K14+'08.3 REGALIAS MINERAS'!K15+'08.4 DER. VIGENCIA PENALIDAD'!K16</f>
        <v>2974591.1765999999</v>
      </c>
    </row>
    <row r="17" spans="1:11">
      <c r="A17" s="33" t="s">
        <v>96</v>
      </c>
      <c r="B17" s="36">
        <v>15389907.5494</v>
      </c>
      <c r="C17" s="36">
        <v>12124101.277941577</v>
      </c>
      <c r="D17" s="36">
        <v>4938485.7320551425</v>
      </c>
      <c r="E17" s="36">
        <v>4586447.4102538563</v>
      </c>
      <c r="F17" s="36">
        <v>8485729.9313526191</v>
      </c>
      <c r="G17" s="36">
        <v>7778782.4031547066</v>
      </c>
      <c r="H17" s="36">
        <v>5030770.7491999995</v>
      </c>
      <c r="I17" s="36">
        <v>4481267.1912000002</v>
      </c>
      <c r="J17" s="36">
        <f>'08.2 TRANSF. CANON'!J15+'08.3 REGALIAS MINERAS'!J16+'08.4 DER. VIGENCIA PENALIDAD'!J17</f>
        <v>5384865.3130587833</v>
      </c>
      <c r="K17" s="36">
        <f>'08.2 TRANSF. CANON'!K15+'08.3 REGALIAS MINERAS'!K16+'08.4 DER. VIGENCIA PENALIDAD'!K17</f>
        <v>1680494.0962</v>
      </c>
    </row>
    <row r="18" spans="1:11">
      <c r="A18" s="33" t="s">
        <v>97</v>
      </c>
      <c r="B18" s="36">
        <v>76905707.542599991</v>
      </c>
      <c r="C18" s="36">
        <v>83369188.034479722</v>
      </c>
      <c r="D18" s="36">
        <v>121588575.0359932</v>
      </c>
      <c r="E18" s="36">
        <v>83859562.307208538</v>
      </c>
      <c r="F18" s="36">
        <v>235060437.44280097</v>
      </c>
      <c r="G18" s="36">
        <v>401195537.72356755</v>
      </c>
      <c r="H18" s="36">
        <v>230490249.6651406</v>
      </c>
      <c r="I18" s="36">
        <v>288055484.15719998</v>
      </c>
      <c r="J18" s="36">
        <f>'08.2 TRANSF. CANON'!J16+'08.3 REGALIAS MINERAS'!J17+'08.4 DER. VIGENCIA PENALIDAD'!J18</f>
        <v>73677188.644798443</v>
      </c>
      <c r="K18" s="36">
        <f>'08.2 TRANSF. CANON'!K16+'08.3 REGALIAS MINERAS'!K17+'08.4 DER. VIGENCIA PENALIDAD'!K18</f>
        <v>6647795.4395999992</v>
      </c>
    </row>
    <row r="19" spans="1:11">
      <c r="A19" s="33" t="s">
        <v>98</v>
      </c>
      <c r="B19" s="36">
        <v>155947579.30630001</v>
      </c>
      <c r="C19" s="36">
        <v>155734539.65298778</v>
      </c>
      <c r="D19" s="36">
        <v>63676951.813635752</v>
      </c>
      <c r="E19" s="36">
        <v>104704001.50625034</v>
      </c>
      <c r="F19" s="36">
        <v>136496760.66062248</v>
      </c>
      <c r="G19" s="36">
        <v>129925948.67495766</v>
      </c>
      <c r="H19" s="36">
        <v>93695808.049779996</v>
      </c>
      <c r="I19" s="36">
        <v>45498783.514799997</v>
      </c>
      <c r="J19" s="36">
        <f>'08.2 TRANSF. CANON'!J17+'08.3 REGALIAS MINERAS'!J18+'08.4 DER. VIGENCIA PENALIDAD'!J19</f>
        <v>60847155.913522385</v>
      </c>
      <c r="K19" s="36">
        <f>'08.2 TRANSF. CANON'!K17+'08.3 REGALIAS MINERAS'!K18+'08.4 DER. VIGENCIA PENALIDAD'!K19</f>
        <v>17263677.874000002</v>
      </c>
    </row>
    <row r="20" spans="1:11">
      <c r="A20" s="33" t="s">
        <v>99</v>
      </c>
      <c r="B20" s="36">
        <v>308331506.80979997</v>
      </c>
      <c r="C20" s="36">
        <v>298011458.98555273</v>
      </c>
      <c r="D20" s="36">
        <v>408525372.08038211</v>
      </c>
      <c r="E20" s="36">
        <v>475092520.04335213</v>
      </c>
      <c r="F20" s="36">
        <v>533515484.93588352</v>
      </c>
      <c r="G20" s="36">
        <v>607324121.99845195</v>
      </c>
      <c r="H20" s="36">
        <v>601975758.16471994</v>
      </c>
      <c r="I20" s="36">
        <v>408796725.38536</v>
      </c>
      <c r="J20" s="36">
        <f>'08.2 TRANSF. CANON'!J18+'08.3 REGALIAS MINERAS'!J19+'08.4 DER. VIGENCIA PENALIDAD'!J20</f>
        <v>310235381.18455046</v>
      </c>
      <c r="K20" s="36">
        <f>'08.2 TRANSF. CANON'!K18+'08.3 REGALIAS MINERAS'!K19+'08.4 DER. VIGENCIA PENALIDAD'!K20</f>
        <v>27114930.841999996</v>
      </c>
    </row>
    <row r="21" spans="1:11">
      <c r="A21" s="33" t="s">
        <v>100</v>
      </c>
      <c r="B21" s="36">
        <v>599083.25780000002</v>
      </c>
      <c r="C21" s="36">
        <v>1059665.7928002398</v>
      </c>
      <c r="D21" s="36">
        <v>1697802.6951710866</v>
      </c>
      <c r="E21" s="36">
        <v>1663173.2381679008</v>
      </c>
      <c r="F21" s="36">
        <v>2417239.194722211</v>
      </c>
      <c r="G21" s="36">
        <v>2208583.4198764423</v>
      </c>
      <c r="H21" s="36">
        <v>1739908.2035400001</v>
      </c>
      <c r="I21" s="36">
        <v>2045578.206</v>
      </c>
      <c r="J21" s="36">
        <f>'08.2 TRANSF. CANON'!J19+'08.3 REGALIAS MINERAS'!J20+'08.4 DER. VIGENCIA PENALIDAD'!J21</f>
        <v>2970444.1677999999</v>
      </c>
      <c r="K21" s="36">
        <f>'08.2 TRANSF. CANON'!K19+'08.3 REGALIAS MINERAS'!K20+'08.4 DER. VIGENCIA PENALIDAD'!K21</f>
        <v>274629.73499999999</v>
      </c>
    </row>
    <row r="22" spans="1:11">
      <c r="A22" s="33" t="s">
        <v>101</v>
      </c>
      <c r="B22" s="36">
        <v>251909596.25</v>
      </c>
      <c r="C22" s="36">
        <v>233783431.72630557</v>
      </c>
      <c r="D22" s="36">
        <v>95008445.068673864</v>
      </c>
      <c r="E22" s="36">
        <v>117783126.9414579</v>
      </c>
      <c r="F22" s="36">
        <v>186330859.10603899</v>
      </c>
      <c r="G22" s="36">
        <v>199901479.13317117</v>
      </c>
      <c r="H22" s="36">
        <v>145750026.01084</v>
      </c>
      <c r="I22" s="36">
        <v>91464145.697760001</v>
      </c>
      <c r="J22" s="36">
        <f>'08.2 TRANSF. CANON'!J20+'08.3 REGALIAS MINERAS'!J21+'08.4 DER. VIGENCIA PENALIDAD'!J22</f>
        <v>87032168.288113415</v>
      </c>
      <c r="K22" s="36">
        <f>'08.2 TRANSF. CANON'!K20+'08.3 REGALIAS MINERAS'!K21+'08.4 DER. VIGENCIA PENALIDAD'!K22</f>
        <v>21588909.4408</v>
      </c>
    </row>
    <row r="23" spans="1:11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f>'08.2 TRANSF. CANON'!J21+'08.3 REGALIAS MINERAS'!J22+'08.4 DER. VIGENCIA PENALIDAD'!J23</f>
        <v>105507.45499999999</v>
      </c>
      <c r="K23" s="36">
        <f>'08.2 TRANSF. CANON'!K21+'08.3 REGALIAS MINERAS'!K22+'08.4 DER. VIGENCIA PENALIDAD'!K23</f>
        <v>0</v>
      </c>
    </row>
    <row r="24" spans="1:11">
      <c r="A24" s="33" t="s">
        <v>103</v>
      </c>
      <c r="B24" s="36">
        <v>1453939.7741999999</v>
      </c>
      <c r="C24" s="36">
        <v>1551357.1201049828</v>
      </c>
      <c r="D24" s="36">
        <v>1859395.4470035345</v>
      </c>
      <c r="E24" s="36">
        <v>1986445.1567431935</v>
      </c>
      <c r="F24" s="36">
        <v>2207435.8189031449</v>
      </c>
      <c r="G24" s="36">
        <v>3050291.1766951731</v>
      </c>
      <c r="H24" s="36">
        <v>5120161.9310600003</v>
      </c>
      <c r="I24" s="36">
        <v>4484740.0181599995</v>
      </c>
      <c r="J24" s="36">
        <f>'08.2 TRANSF. CANON'!J22+'08.3 REGALIAS MINERAS'!J23+'08.4 DER. VIGENCIA PENALIDAD'!J24</f>
        <v>7070181.0129999993</v>
      </c>
      <c r="K24" s="36">
        <f>'08.2 TRANSF. CANON'!K22+'08.3 REGALIAS MINERAS'!K23+'08.4 DER. VIGENCIA PENALIDAD'!K24</f>
        <v>325659.00400000002</v>
      </c>
    </row>
    <row r="25" spans="1:11">
      <c r="A25" s="33" t="s">
        <v>104</v>
      </c>
      <c r="B25" s="36">
        <v>586127658.2802</v>
      </c>
      <c r="C25" s="36">
        <v>319895057.51610309</v>
      </c>
      <c r="D25" s="36">
        <v>446120182.9646666</v>
      </c>
      <c r="E25" s="36">
        <v>345257084.74441558</v>
      </c>
      <c r="F25" s="36">
        <v>500118580.71051222</v>
      </c>
      <c r="G25" s="36">
        <v>421321618.06921977</v>
      </c>
      <c r="H25" s="36">
        <v>362196812.37268001</v>
      </c>
      <c r="I25" s="36">
        <v>303773208.22975999</v>
      </c>
      <c r="J25" s="36">
        <f>'08.2 TRANSF. CANON'!J23+'08.3 REGALIAS MINERAS'!J24+'08.4 DER. VIGENCIA PENALIDAD'!J25</f>
        <v>225809459.89780262</v>
      </c>
      <c r="K25" s="36">
        <f>'08.2 TRANSF. CANON'!K23+'08.3 REGALIAS MINERAS'!K24+'08.4 DER. VIGENCIA PENALIDAD'!K25</f>
        <v>17868997.5262</v>
      </c>
    </row>
    <row r="26" spans="1:11">
      <c r="A26" s="33" t="s">
        <v>105</v>
      </c>
      <c r="B26" s="36">
        <v>451362728.24669999</v>
      </c>
      <c r="C26" s="36">
        <v>438974377.01479346</v>
      </c>
      <c r="D26" s="36">
        <v>147895217.47337314</v>
      </c>
      <c r="E26" s="36">
        <v>206278602.87626642</v>
      </c>
      <c r="F26" s="36">
        <v>261270046.13078004</v>
      </c>
      <c r="G26" s="36">
        <v>227450185.27691138</v>
      </c>
      <c r="H26" s="36">
        <v>128872727.13410001</v>
      </c>
      <c r="I26" s="36">
        <v>85954084.441439986</v>
      </c>
      <c r="J26" s="36">
        <f>'08.2 TRANSF. CANON'!J24+'08.3 REGALIAS MINERAS'!J25+'08.4 DER. VIGENCIA PENALIDAD'!J26</f>
        <v>43139785.983637348</v>
      </c>
      <c r="K26" s="36">
        <f>'08.2 TRANSF. CANON'!K24+'08.3 REGALIAS MINERAS'!K25+'08.4 DER. VIGENCIA PENALIDAD'!K26</f>
        <v>15720181.5132</v>
      </c>
    </row>
    <row r="27" spans="1:11">
      <c r="A27" s="33" t="s">
        <v>106</v>
      </c>
      <c r="B27" s="36">
        <v>3687658.5786000001</v>
      </c>
      <c r="C27" s="36">
        <v>5412573.3953502765</v>
      </c>
      <c r="D27" s="36">
        <v>5377922.3562381808</v>
      </c>
      <c r="E27" s="36">
        <v>5306423.1324795112</v>
      </c>
      <c r="F27" s="36">
        <v>5455625.2764978996</v>
      </c>
      <c r="G27" s="36">
        <v>6632227.9950636607</v>
      </c>
      <c r="H27" s="36">
        <v>12665687.461540002</v>
      </c>
      <c r="I27" s="36">
        <v>11693265.65992</v>
      </c>
      <c r="J27" s="36">
        <f>'08.2 TRANSF. CANON'!J25+'08.3 REGALIAS MINERAS'!J26+'08.4 DER. VIGENCIA PENALIDAD'!J27</f>
        <v>40099774.299650505</v>
      </c>
      <c r="K27" s="36">
        <f>'08.2 TRANSF. CANON'!K25+'08.3 REGALIAS MINERAS'!K26+'08.4 DER. VIGENCIA PENALIDAD'!K27</f>
        <v>851071.38800000004</v>
      </c>
    </row>
    <row r="28" spans="1:11">
      <c r="A28" s="33" t="s">
        <v>107</v>
      </c>
      <c r="B28" s="36">
        <v>187761005.57690001</v>
      </c>
      <c r="C28" s="36">
        <v>241942667.53183195</v>
      </c>
      <c r="D28" s="36">
        <v>293447473.11829656</v>
      </c>
      <c r="E28" s="36">
        <v>260812911.4911198</v>
      </c>
      <c r="F28" s="36">
        <v>397361014.50526154</v>
      </c>
      <c r="G28" s="36">
        <v>377115469.72351629</v>
      </c>
      <c r="H28" s="36">
        <v>275624663.42460001</v>
      </c>
      <c r="I28" s="36">
        <v>237485100.12136</v>
      </c>
      <c r="J28" s="36">
        <f>'08.2 TRANSF. CANON'!J26+'08.3 REGALIAS MINERAS'!J27+'08.4 DER. VIGENCIA PENALIDAD'!J28</f>
        <v>122134194.42960674</v>
      </c>
      <c r="K28" s="36">
        <f>'08.2 TRANSF. CANON'!K26+'08.3 REGALIAS MINERAS'!K27+'08.4 DER. VIGENCIA PENALIDAD'!K28</f>
        <v>19381202.268599998</v>
      </c>
    </row>
    <row r="29" spans="1:11">
      <c r="A29" s="33" t="s">
        <v>108</v>
      </c>
      <c r="B29" s="36">
        <v>1132844.8647</v>
      </c>
      <c r="C29" s="36">
        <v>1527023.8140482651</v>
      </c>
      <c r="D29" s="36">
        <v>1192003.3957302771</v>
      </c>
      <c r="E29" s="36">
        <v>1383843.2131051037</v>
      </c>
      <c r="F29" s="36">
        <v>1561706.4410984239</v>
      </c>
      <c r="G29" s="36">
        <v>2013543.8280217585</v>
      </c>
      <c r="H29" s="36">
        <v>1576367.9918800001</v>
      </c>
      <c r="I29" s="36">
        <v>3115735.1436799997</v>
      </c>
      <c r="J29" s="36">
        <f>'08.2 TRANSF. CANON'!J27+'08.3 REGALIAS MINERAS'!J28+'08.4 DER. VIGENCIA PENALIDAD'!J29</f>
        <v>2559411.0832000002</v>
      </c>
      <c r="K29" s="36">
        <f>'08.2 TRANSF. CANON'!K27+'08.3 REGALIAS MINERAS'!K28+'08.4 DER. VIGENCIA PENALIDAD'!K29</f>
        <v>152259.97</v>
      </c>
    </row>
    <row r="30" spans="1:11">
      <c r="A30" s="33" t="s">
        <v>109</v>
      </c>
      <c r="B30" s="36">
        <v>881815168.60259998</v>
      </c>
      <c r="C30" s="36">
        <v>799467984.10479236</v>
      </c>
      <c r="D30" s="36">
        <v>351246840.4315868</v>
      </c>
      <c r="E30" s="36">
        <v>278801911.78170145</v>
      </c>
      <c r="F30" s="36">
        <v>459989093.80042839</v>
      </c>
      <c r="G30" s="36">
        <v>386564323.60621232</v>
      </c>
      <c r="H30" s="36">
        <v>304535228.34421998</v>
      </c>
      <c r="I30" s="36">
        <v>279236762.76184005</v>
      </c>
      <c r="J30" s="36">
        <f>'08.2 TRANSF. CANON'!J28+'08.3 REGALIAS MINERAS'!J29+'08.4 DER. VIGENCIA PENALIDAD'!J30</f>
        <v>214765362.31498647</v>
      </c>
      <c r="K30" s="36">
        <f>'08.2 TRANSF. CANON'!K28+'08.3 REGALIAS MINERAS'!K29+'08.4 DER. VIGENCIA PENALIDAD'!K30</f>
        <v>17228435.489</v>
      </c>
    </row>
    <row r="31" spans="1:11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f>'08.2 TRANSF. CANON'!J29+'08.3 REGALIAS MINERAS'!J30+'08.4 DER. VIGENCIA PENALIDAD'!J31</f>
        <v>68215.5</v>
      </c>
      <c r="K31" s="36">
        <f>'08.2 TRANSF. CANON'!K29+'08.3 REGALIAS MINERAS'!K30+'08.4 DER. VIGENCIA PENALIDAD'!K31</f>
        <v>35778.5</v>
      </c>
    </row>
    <row r="32" spans="1:11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f>'08.2 TRANSF. CANON'!J30+'08.3 REGALIAS MINERAS'!J31+'08.4 DER. VIGENCIA PENALIDAD'!J32</f>
        <v>20881.832200000001</v>
      </c>
      <c r="K32" s="36">
        <f>'08.2 TRANSF. CANON'!K30+'08.3 REGALIAS MINERAS'!K31+'08.4 DER. VIGENCIA PENALIDAD'!K32</f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  <c r="J33" s="10"/>
      <c r="K33" s="10"/>
    </row>
    <row r="34" spans="1:11">
      <c r="A34" s="35" t="s">
        <v>112</v>
      </c>
      <c r="B34" s="37">
        <f t="shared" ref="B34:H34" si="0">SUM(B8:B32)</f>
        <v>5733006464.1572008</v>
      </c>
      <c r="C34" s="37">
        <f t="shared" si="0"/>
        <v>5028011252.9445906</v>
      </c>
      <c r="D34" s="37">
        <f t="shared" si="0"/>
        <v>3858728665.0702405</v>
      </c>
      <c r="E34" s="37">
        <f t="shared" si="0"/>
        <v>3798964241.4584179</v>
      </c>
      <c r="F34" s="37">
        <f t="shared" si="0"/>
        <v>5131745343.7070303</v>
      </c>
      <c r="G34" s="37">
        <f t="shared" si="0"/>
        <v>5785521249.0958252</v>
      </c>
      <c r="H34" s="37">
        <f t="shared" si="0"/>
        <v>4468435110.5700397</v>
      </c>
      <c r="I34" s="37">
        <f>SUM(I8:I32)</f>
        <v>3597622638.1935205</v>
      </c>
      <c r="J34" s="37">
        <f>SUM(J8:J32)</f>
        <v>2523761446.9697237</v>
      </c>
      <c r="K34" s="37">
        <f>SUM(K8:K32)</f>
        <v>445734205.27640003</v>
      </c>
    </row>
    <row r="35" spans="1:1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4" spans="1:11">
      <c r="A44" s="11" t="s">
        <v>143</v>
      </c>
    </row>
    <row r="45" spans="1:11">
      <c r="A45" s="10" t="s">
        <v>115</v>
      </c>
    </row>
    <row r="47" spans="1:11">
      <c r="A47" s="11" t="s">
        <v>140</v>
      </c>
    </row>
    <row r="48" spans="1:11">
      <c r="A48" s="10" t="s">
        <v>116</v>
      </c>
    </row>
    <row r="50" spans="1:1">
      <c r="A50" s="10" t="s">
        <v>121</v>
      </c>
    </row>
    <row r="52" spans="1:1">
      <c r="A52" s="11" t="s">
        <v>154</v>
      </c>
    </row>
    <row r="53" spans="1:1">
      <c r="A53" s="10" t="s">
        <v>282</v>
      </c>
    </row>
  </sheetData>
  <pageMargins left="0.7" right="0.7" top="0.75" bottom="0.75" header="0.3" footer="0.3"/>
  <pageSetup scale="56" orientation="landscape" r:id="rId1"/>
  <ignoredErrors>
    <ignoredError sqref="B34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01 MACRO</vt:lpstr>
      <vt:lpstr>02.1 PRODUCCION</vt:lpstr>
      <vt:lpstr>02.2 PRODUCCION EMPRESAS</vt:lpstr>
      <vt:lpstr>02.3 PRODUCCION REGIONES</vt:lpstr>
      <vt:lpstr>03.1 EXPORTACIONES MINERAS</vt:lpstr>
      <vt:lpstr>03.2 PARTICP. EXPORTACIONES</vt:lpstr>
      <vt:lpstr>03.3 PRODUCTOS EXPORTACIONES</vt:lpstr>
      <vt:lpstr>04 PRECIOS</vt:lpstr>
      <vt:lpstr>08.1 TRANSF. REGIONES</vt:lpstr>
      <vt:lpstr>08.2 TRANSF. CANON</vt:lpstr>
      <vt:lpstr>08.3 REGALIAS MINERAS</vt:lpstr>
      <vt:lpstr>08.4 DER. VIGENCIA PENALIDAD</vt:lpstr>
      <vt:lpstr>NUEVO REGIMEN TRIBUTARIO</vt:lpstr>
      <vt:lpstr>10 AREAS RESTRINGIDAS</vt:lpstr>
      <vt:lpstr>SALDO IED por SECTOR</vt:lpstr>
      <vt:lpstr>CATASTRO</vt:lpstr>
      <vt:lpstr>INVERSION</vt:lpstr>
      <vt:lpstr>INVERSION - EMPRESAS</vt:lpstr>
      <vt:lpstr>INVERSION REGIONES</vt:lpstr>
      <vt:lpstr>INVERSION - RUBROS</vt:lpstr>
      <vt:lpstr>INVERSION -EVOLUCION</vt:lpstr>
      <vt:lpstr>CARTERA DE PROYECTOS</vt:lpstr>
      <vt:lpstr>EMPLEO</vt:lpstr>
      <vt:lpstr>EMPLEO - REGIONES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2016-05-30T15:59:47Z</cp:lastPrinted>
  <dcterms:created xsi:type="dcterms:W3CDTF">2014-07-07T20:10:18Z</dcterms:created>
  <dcterms:modified xsi:type="dcterms:W3CDTF">2017-06-19T21:15:19Z</dcterms:modified>
</cp:coreProperties>
</file>