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8" yWindow="-12" windowWidth="7716" windowHeight="7668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825" i="1" l="1"/>
  <c r="G825" i="1"/>
  <c r="F825" i="1"/>
  <c r="E825" i="1"/>
  <c r="D825" i="1"/>
  <c r="C825" i="1"/>
  <c r="B825" i="1"/>
  <c r="H925" i="1" l="1"/>
  <c r="G925" i="1"/>
  <c r="F925" i="1"/>
  <c r="E925" i="1"/>
  <c r="D925" i="1"/>
  <c r="C925" i="1"/>
  <c r="B925" i="1"/>
  <c r="H893" i="1"/>
  <c r="G893" i="1"/>
  <c r="F893" i="1"/>
  <c r="E893" i="1"/>
  <c r="D893" i="1"/>
  <c r="C893" i="1"/>
  <c r="B893" i="1"/>
  <c r="C861" i="1"/>
  <c r="D861" i="1"/>
  <c r="E861" i="1"/>
  <c r="F861" i="1"/>
  <c r="G861" i="1"/>
  <c r="H861" i="1"/>
  <c r="B861" i="1"/>
  <c r="F792" i="1" l="1"/>
  <c r="F787" i="1"/>
  <c r="F778" i="1"/>
  <c r="C739" i="1" l="1"/>
  <c r="D740" i="1" s="1"/>
  <c r="B739" i="1"/>
  <c r="C680" i="1"/>
  <c r="D681" i="1" s="1"/>
  <c r="B680" i="1"/>
  <c r="D761" i="1" l="1"/>
  <c r="D759" i="1"/>
  <c r="D757" i="1"/>
  <c r="D755" i="1"/>
  <c r="D753" i="1"/>
  <c r="D751" i="1"/>
  <c r="D749" i="1"/>
  <c r="D747" i="1"/>
  <c r="D745" i="1"/>
  <c r="D743" i="1"/>
  <c r="D741" i="1"/>
  <c r="D739" i="1"/>
  <c r="D760" i="1"/>
  <c r="D758" i="1"/>
  <c r="D756" i="1"/>
  <c r="D754" i="1"/>
  <c r="D752" i="1"/>
  <c r="D750" i="1"/>
  <c r="D748" i="1"/>
  <c r="D746" i="1"/>
  <c r="D744" i="1"/>
  <c r="D742" i="1"/>
  <c r="D731" i="1"/>
  <c r="D729" i="1"/>
  <c r="D727" i="1"/>
  <c r="D725" i="1"/>
  <c r="D723" i="1"/>
  <c r="D721" i="1"/>
  <c r="D719" i="1"/>
  <c r="D717" i="1"/>
  <c r="D715" i="1"/>
  <c r="D713" i="1"/>
  <c r="D711" i="1"/>
  <c r="D709" i="1"/>
  <c r="D707" i="1"/>
  <c r="D705" i="1"/>
  <c r="D703" i="1"/>
  <c r="D701" i="1"/>
  <c r="D699" i="1"/>
  <c r="D697" i="1"/>
  <c r="D695" i="1"/>
  <c r="D693" i="1"/>
  <c r="D691" i="1"/>
  <c r="D689" i="1"/>
  <c r="D687" i="1"/>
  <c r="D685" i="1"/>
  <c r="D683" i="1"/>
  <c r="D680" i="1"/>
  <c r="D730" i="1"/>
  <c r="D728" i="1"/>
  <c r="D726" i="1"/>
  <c r="D724" i="1"/>
  <c r="D722" i="1"/>
  <c r="D720" i="1"/>
  <c r="D718" i="1"/>
  <c r="D716" i="1"/>
  <c r="D714" i="1"/>
  <c r="D712" i="1"/>
  <c r="D710" i="1"/>
  <c r="D708" i="1"/>
  <c r="D706" i="1"/>
  <c r="D704" i="1"/>
  <c r="D702" i="1"/>
  <c r="D700" i="1"/>
  <c r="D698" i="1"/>
  <c r="D696" i="1"/>
  <c r="D694" i="1"/>
  <c r="D692" i="1"/>
  <c r="D690" i="1"/>
  <c r="D688" i="1"/>
  <c r="D686" i="1"/>
  <c r="D684" i="1"/>
  <c r="D682" i="1"/>
  <c r="H647" i="1" l="1"/>
  <c r="G647" i="1"/>
  <c r="F647" i="1"/>
  <c r="E647" i="1"/>
  <c r="D647" i="1"/>
  <c r="C647" i="1"/>
  <c r="B647" i="1"/>
  <c r="C630" i="1"/>
  <c r="D630" i="1"/>
  <c r="E630" i="1"/>
  <c r="F630" i="1"/>
  <c r="G630" i="1"/>
  <c r="H630" i="1"/>
  <c r="B630" i="1"/>
  <c r="C614" i="1"/>
  <c r="D614" i="1"/>
  <c r="E614" i="1"/>
  <c r="F614" i="1"/>
  <c r="G614" i="1"/>
  <c r="H614" i="1"/>
  <c r="B614" i="1"/>
  <c r="C597" i="1"/>
  <c r="D597" i="1"/>
  <c r="E597" i="1"/>
  <c r="F597" i="1"/>
  <c r="G597" i="1"/>
  <c r="H597" i="1"/>
  <c r="B597" i="1"/>
  <c r="B566" i="1"/>
  <c r="C583" i="1"/>
  <c r="D583" i="1"/>
  <c r="E583" i="1"/>
  <c r="F583" i="1"/>
  <c r="G583" i="1"/>
  <c r="H583" i="1"/>
  <c r="B583" i="1"/>
  <c r="C566" i="1"/>
  <c r="D566" i="1"/>
  <c r="E566" i="1"/>
  <c r="F566" i="1"/>
  <c r="G566" i="1"/>
  <c r="H566" i="1"/>
  <c r="F546" i="1"/>
  <c r="C546" i="1"/>
  <c r="F532" i="1"/>
  <c r="C532" i="1"/>
  <c r="F518" i="1"/>
  <c r="C518" i="1"/>
  <c r="D491" i="1"/>
  <c r="D482" i="1"/>
  <c r="D483" i="1"/>
  <c r="D484" i="1"/>
  <c r="D485" i="1"/>
  <c r="D486" i="1"/>
  <c r="D487" i="1"/>
  <c r="C481" i="1"/>
  <c r="B481" i="1"/>
  <c r="C490" i="1"/>
  <c r="B490" i="1"/>
  <c r="B46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C449" i="1"/>
  <c r="B449" i="1"/>
  <c r="D447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C430" i="1"/>
  <c r="B430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C411" i="1"/>
  <c r="B411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C396" i="1"/>
  <c r="B396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77" i="1"/>
  <c r="D490" i="1" l="1"/>
  <c r="D411" i="1"/>
  <c r="D449" i="1"/>
  <c r="D481" i="1"/>
  <c r="D430" i="1"/>
  <c r="D396" i="1"/>
  <c r="B145" i="1" l="1"/>
  <c r="B171" i="1"/>
  <c r="H172" i="1"/>
  <c r="H171" i="1"/>
  <c r="G172" i="1"/>
  <c r="G171" i="1"/>
  <c r="F172" i="1"/>
  <c r="F171" i="1"/>
  <c r="E172" i="1"/>
  <c r="E171" i="1"/>
  <c r="D172" i="1"/>
  <c r="D171" i="1"/>
  <c r="C172" i="1"/>
  <c r="C171" i="1"/>
  <c r="B172" i="1"/>
  <c r="H145" i="1"/>
  <c r="G145" i="1"/>
  <c r="F145" i="1"/>
  <c r="E145" i="1"/>
  <c r="E148" i="1"/>
  <c r="E147" i="1"/>
  <c r="E146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4" i="1"/>
  <c r="D153" i="1"/>
  <c r="D152" i="1"/>
  <c r="D151" i="1"/>
  <c r="D150" i="1"/>
  <c r="D148" i="1"/>
  <c r="D147" i="1"/>
  <c r="D146" i="1"/>
  <c r="D145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4" i="1"/>
  <c r="C153" i="1"/>
  <c r="C152" i="1"/>
  <c r="C151" i="1"/>
  <c r="C150" i="1"/>
  <c r="C148" i="1"/>
  <c r="C147" i="1"/>
  <c r="C146" i="1"/>
  <c r="C145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4" i="1"/>
  <c r="B153" i="1"/>
  <c r="B151" i="1"/>
  <c r="B150" i="1"/>
  <c r="B148" i="1"/>
  <c r="B147" i="1"/>
  <c r="B146" i="1"/>
  <c r="G68" i="1"/>
  <c r="G69" i="1" s="1"/>
  <c r="G64" i="1"/>
  <c r="G65" i="1" s="1"/>
  <c r="G60" i="1"/>
  <c r="G61" i="1" s="1"/>
  <c r="G56" i="1"/>
  <c r="G57" i="1" s="1"/>
  <c r="G52" i="1"/>
  <c r="G53" i="1" s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E70" i="1"/>
  <c r="E69" i="1"/>
  <c r="E66" i="1"/>
  <c r="E65" i="1"/>
  <c r="E62" i="1"/>
  <c r="E61" i="1"/>
  <c r="E19" i="1" l="1"/>
  <c r="E68" i="1" s="1"/>
  <c r="E18" i="1"/>
  <c r="E64" i="1" s="1"/>
  <c r="E17" i="1"/>
  <c r="E60" i="1" s="1"/>
  <c r="E16" i="1"/>
  <c r="E56" i="1" s="1"/>
  <c r="E15" i="1"/>
  <c r="E52" i="1" s="1"/>
  <c r="E14" i="1"/>
  <c r="E13" i="1"/>
  <c r="E12" i="1"/>
  <c r="E11" i="1"/>
  <c r="E10" i="1"/>
  <c r="E9" i="1"/>
  <c r="E8" i="1"/>
  <c r="E7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78" i="1" l="1"/>
  <c r="D476" i="1"/>
  <c r="D474" i="1"/>
  <c r="D472" i="1"/>
  <c r="D471" i="1"/>
  <c r="D473" i="1"/>
  <c r="D475" i="1"/>
  <c r="D477" i="1"/>
  <c r="D470" i="1"/>
  <c r="C469" i="1"/>
  <c r="D469" i="1" s="1"/>
  <c r="D479" i="1"/>
</calcChain>
</file>

<file path=xl/sharedStrings.xml><?xml version="1.0" encoding="utf-8"?>
<sst xmlns="http://schemas.openxmlformats.org/spreadsheetml/2006/main" count="1158" uniqueCount="426">
  <si>
    <t>Año</t>
  </si>
  <si>
    <t>Oro            (Onza fina)</t>
  </si>
  <si>
    <t>Plata             (Onza fina)</t>
  </si>
  <si>
    <t>Zinc       (TMF)</t>
  </si>
  <si>
    <t>Cobre   (TMF)</t>
  </si>
  <si>
    <t>Plomo      (TMF)</t>
  </si>
  <si>
    <t>Hierro    (TLF)</t>
  </si>
  <si>
    <t>Estaño   (TMF)</t>
  </si>
  <si>
    <t>Molibdeno   (TMF)</t>
  </si>
  <si>
    <t>Estrato</t>
  </si>
  <si>
    <t>-</t>
  </si>
  <si>
    <t>Gran y mediana minería</t>
  </si>
  <si>
    <t>Pequeña minería</t>
  </si>
  <si>
    <t>Minería artesanal</t>
  </si>
  <si>
    <t>2009</t>
  </si>
  <si>
    <t>2010</t>
  </si>
  <si>
    <t>2011</t>
  </si>
  <si>
    <t>2012</t>
  </si>
  <si>
    <t>2013</t>
  </si>
  <si>
    <t>---</t>
  </si>
  <si>
    <t>Empresa Minera</t>
  </si>
  <si>
    <t>CIA. MRA. ANTAMINA S.A.</t>
  </si>
  <si>
    <t>SOUTHERN PERU COPPER CORPORATION</t>
  </si>
  <si>
    <t>SOC. MRA. CERRO VERDE S.A.A.</t>
  </si>
  <si>
    <t>XSTRATA TINTAYA S.A.</t>
  </si>
  <si>
    <t>COMPAÑIA MINERA MILPO S.A.</t>
  </si>
  <si>
    <t>GOLD FIELDS LA CIMA S.A.</t>
  </si>
  <si>
    <t>SOCIEDAD MINERA EL BROCAL S.A.A.</t>
  </si>
  <si>
    <t>DOE RUN PERU S.R.LTDA. (mina cobriza)</t>
  </si>
  <si>
    <t>CIA.MRA.CONDESTABLE S.A</t>
  </si>
  <si>
    <t>EMPRESA MINERA LOS QUENUALES S.A.  (*)</t>
  </si>
  <si>
    <t>VOLCAN CIA.MINERA S.A.A.</t>
  </si>
  <si>
    <t>SOC.MRA.CORONA S.A.</t>
  </si>
  <si>
    <t>CIA.MRA.RAURA S.A.</t>
  </si>
  <si>
    <t>COMPAÑIA MINERA ARGENTUM S.A.</t>
  </si>
  <si>
    <t>EMPRESA ADMINISTRADORA CHUNGAR S.A.C.</t>
  </si>
  <si>
    <t>CIA.MRA.ATACOCHA  S.A</t>
  </si>
  <si>
    <t>CIA. MAR CASAPALCA S.A</t>
  </si>
  <si>
    <t>SOC.MRA.AUSTRIA DUVAZ S.A</t>
  </si>
  <si>
    <t>PAN AMERICAN SILVER S.A.C. MINA QUIRUVILCA</t>
  </si>
  <si>
    <t>MINERA PAMPA DE COBRE S.A.</t>
  </si>
  <si>
    <t>MINERA COLQUISIRI S.A.</t>
  </si>
  <si>
    <t>CIA. DE MINAS BUENAVENTURA  S.A.A.</t>
  </si>
  <si>
    <t>MINSUR S.A.</t>
  </si>
  <si>
    <t>PERUBAR S.A.</t>
  </si>
  <si>
    <t>EMP.MRA. DEL CENTRO DEL PERU S.A.</t>
  </si>
  <si>
    <t>OTROS / OTHERS</t>
  </si>
  <si>
    <t>EMPRESA MINERA LOS QUENUALES S.A.</t>
  </si>
  <si>
    <t xml:space="preserve">CIA.MRA.HUARON  S.A  </t>
  </si>
  <si>
    <t>Total</t>
  </si>
  <si>
    <t>CIA.MRA MILPO S.A</t>
  </si>
  <si>
    <t>VOLCAN CIA. MRA. S.A A.</t>
  </si>
  <si>
    <t>EMP. ADMIN.CHUNGAR S.A.C.</t>
  </si>
  <si>
    <t xml:space="preserve">CIA.MRA ATACOCHA S.A </t>
  </si>
  <si>
    <t>CIA.MRA SANTA LUISA S.A</t>
  </si>
  <si>
    <t>CIA. MRA. CASAPALCA S.A.</t>
  </si>
  <si>
    <t xml:space="preserve">CIA.MRA.SAN IGNACIO DE MOROCOCHA S.A </t>
  </si>
  <si>
    <t>SOC.MRA. EL BROCAL S.A.</t>
  </si>
  <si>
    <t>SOC.MRA. CORONA S.A.</t>
  </si>
  <si>
    <t>CIA.DE MINAS BUENAVENTURA S.A.A.</t>
  </si>
  <si>
    <t>CIA.MRA. RAURA S.A.</t>
  </si>
  <si>
    <t>EMPRESA ADMINISTRADORA CERRO S.A.C.</t>
  </si>
  <si>
    <t>COMPAÑIA MINERA SAN VALENTIN S.A.</t>
  </si>
  <si>
    <t>PAN AMERICAN SILVER S.A.C - MINA QUIRUVILCA</t>
  </si>
  <si>
    <t>SOC.MRA. AUSTRIA DUVAZ  S.A.</t>
  </si>
  <si>
    <t>CIA.. MRA.CAUDALOSA S.A.</t>
  </si>
  <si>
    <t>MINERA HUALLANCA S.A.</t>
  </si>
  <si>
    <t>PERUBAR S.A</t>
  </si>
  <si>
    <t>EMP.MRA. DEL CENTRO DEL PERU  S.A</t>
  </si>
  <si>
    <t>CIA.MRA. ARCATA S.A.</t>
  </si>
  <si>
    <t>EMP.  MRA. ISCAYCRUZ S.A.</t>
  </si>
  <si>
    <t>Otras</t>
  </si>
  <si>
    <t>MINERA YANACOCHA S.R.L.</t>
  </si>
  <si>
    <t>MINERA BARRICK MISQUICHILCA S.A</t>
  </si>
  <si>
    <t>LA ARENA S.A.</t>
  </si>
  <si>
    <t>CONSORCIO MRO. HORIZONTE S.A</t>
  </si>
  <si>
    <t>MRA. AURIF. RETAMAS S.A.</t>
  </si>
  <si>
    <t>ARUNTANI S.A.C.</t>
  </si>
  <si>
    <t>CIA. MRA. PODEROSA S.A</t>
  </si>
  <si>
    <t>COMPAÑIA MINERA COIMOLACHE S.A.</t>
  </si>
  <si>
    <t>MINERA LA ZANJA S.R.L.</t>
  </si>
  <si>
    <t>CIA. MRA.AURIF. SANTA ROSA S.A</t>
  </si>
  <si>
    <t>ARASI S.A.C.</t>
  </si>
  <si>
    <t>CIA. MRA. CARAVELI S.A</t>
  </si>
  <si>
    <t>CIA. MRA. ARES S.A.C.</t>
  </si>
  <si>
    <t>CEDIMIN S.A.C.</t>
  </si>
  <si>
    <t>COMPAÑIA MINERA SAN SIMON S.A.</t>
  </si>
  <si>
    <t>CORPORACION MINERA CENTAURO S.A.C.</t>
  </si>
  <si>
    <t>CIA.MRA. ATACOCHA S.A</t>
  </si>
  <si>
    <t>MINAS ARIRAHUA S.A</t>
  </si>
  <si>
    <t>CIA. MRA. NVA. CALIFORNIA S.A</t>
  </si>
  <si>
    <t>MADRE DE DIOS</t>
  </si>
  <si>
    <t>ALUVIAL Y LAVADEROS</t>
  </si>
  <si>
    <t>VOLCAN CIA.MINERA  S.A.A.</t>
  </si>
  <si>
    <t>EMP. ADM. CHUNGAR S.A.C.</t>
  </si>
  <si>
    <t>CIA.MRA. MILPO  S.A</t>
  </si>
  <si>
    <t>EMPRESA MINERA LOS QUENUALES S.A. (*)</t>
  </si>
  <si>
    <t>CIA.MRA. CASAPALCA S.A</t>
  </si>
  <si>
    <t>SOC. MRA. CORONA S.A</t>
  </si>
  <si>
    <t>SOC.MRA.EL BROCAL  S.A</t>
  </si>
  <si>
    <t>MRA. BARRICK MISQUICHILCA S.A.</t>
  </si>
  <si>
    <t>CIA.MRA.SANTA LUISA  S.A.</t>
  </si>
  <si>
    <t>MRA. COLQUISIRI S.A.</t>
  </si>
  <si>
    <t>CASTROVIRREYNA  CIA. MRA. S.A</t>
  </si>
  <si>
    <t>VOLCAN CIA. MRA S.A.A.</t>
  </si>
  <si>
    <t>EMPRESA MINERA LOS QUENUALES S.A.   (*)</t>
  </si>
  <si>
    <t xml:space="preserve">CIA.MRA. RAURA S.A  </t>
  </si>
  <si>
    <t>SOC.MRA. EL BROCAL  S.A.</t>
  </si>
  <si>
    <t xml:space="preserve">CIA.. MRA.CAUDALOSA S.A   </t>
  </si>
  <si>
    <t xml:space="preserve">MRA COLQUISIRI S.A  </t>
  </si>
  <si>
    <t>CIA.MRA.SAN IGNACIO DE MOROCOCHA S.A .</t>
  </si>
  <si>
    <t>CASTROVIRREYNA CIA. MRA. S.A.</t>
  </si>
  <si>
    <t>COMPAÑIA MINERA HUARON S.A.</t>
  </si>
  <si>
    <t>EMP, MRA. ISCAYCRUZ S.A.</t>
  </si>
  <si>
    <t>Región</t>
  </si>
  <si>
    <t>.PUNO</t>
  </si>
  <si>
    <t>ANCASH</t>
  </si>
  <si>
    <t>AREQUIPA</t>
  </si>
  <si>
    <t>MOQUEGUA</t>
  </si>
  <si>
    <t>CUZCO</t>
  </si>
  <si>
    <t>TACNA</t>
  </si>
  <si>
    <t>PASCO</t>
  </si>
  <si>
    <t>ICA</t>
  </si>
  <si>
    <t>CAJAMARCA</t>
  </si>
  <si>
    <t>LIMA</t>
  </si>
  <si>
    <t>HUANCAVELICA</t>
  </si>
  <si>
    <t>JUNIN</t>
  </si>
  <si>
    <t>HUANUCO</t>
  </si>
  <si>
    <t>PUNO</t>
  </si>
  <si>
    <t>LA LIBERTAD</t>
  </si>
  <si>
    <t>AYACUCHO</t>
  </si>
  <si>
    <t>CUSCO</t>
  </si>
  <si>
    <t>APURIMAC</t>
  </si>
  <si>
    <t>jUNIN</t>
  </si>
  <si>
    <t>Producto / Empresa</t>
  </si>
  <si>
    <t>Hierro (TLF)</t>
  </si>
  <si>
    <t>Shougang Hierro Perú S.A.A.</t>
  </si>
  <si>
    <t>Ica</t>
  </si>
  <si>
    <t>Estaño (TMF)</t>
  </si>
  <si>
    <t>Minsur S.A.</t>
  </si>
  <si>
    <t>Puno</t>
  </si>
  <si>
    <t>Metales</t>
  </si>
  <si>
    <t>Unidad de Medida</t>
  </si>
  <si>
    <t>Cobre</t>
  </si>
  <si>
    <t>miles de TMF</t>
  </si>
  <si>
    <t>Oro</t>
  </si>
  <si>
    <t>miles de onzas finas</t>
  </si>
  <si>
    <t>Zinc</t>
  </si>
  <si>
    <t>Plata</t>
  </si>
  <si>
    <t>Plomo</t>
  </si>
  <si>
    <t>Hierro</t>
  </si>
  <si>
    <t>miles de TLF</t>
  </si>
  <si>
    <t>Estaño</t>
  </si>
  <si>
    <t>Probable        TMF</t>
  </si>
  <si>
    <t>Probada        TMF</t>
  </si>
  <si>
    <t>Total        TMF</t>
  </si>
  <si>
    <t>PIURA</t>
  </si>
  <si>
    <t>LAMBAYEQUE</t>
  </si>
  <si>
    <t>ORO</t>
  </si>
  <si>
    <t>MABRE BE BIOS</t>
  </si>
  <si>
    <t>Probable        Onzas Finas</t>
  </si>
  <si>
    <t>Probada        Onzas Finas</t>
  </si>
  <si>
    <t>Total        Onzas Finas</t>
  </si>
  <si>
    <t>PLATA</t>
  </si>
  <si>
    <t>Molibdeno</t>
  </si>
  <si>
    <t>Principales                                                 Metales</t>
  </si>
  <si>
    <t>Latinoamérica</t>
  </si>
  <si>
    <t>América</t>
  </si>
  <si>
    <t>Mundo</t>
  </si>
  <si>
    <t>Zinc / Zinc</t>
  </si>
  <si>
    <t>Estaño / Tin</t>
  </si>
  <si>
    <t>Plomo / Lead</t>
  </si>
  <si>
    <t>Oro / Gold</t>
  </si>
  <si>
    <t>Plata / Silver</t>
  </si>
  <si>
    <t>Cobre / Copper</t>
  </si>
  <si>
    <t>Molibdeno / Molybdenum</t>
  </si>
  <si>
    <t>Cadmio / Cadmiun</t>
  </si>
  <si>
    <t>Selenio / Selenium</t>
  </si>
  <si>
    <t>Hierro / Iron</t>
  </si>
  <si>
    <t>Roca Fosfórica / Phosphate rock</t>
  </si>
  <si>
    <t>Nº</t>
  </si>
  <si>
    <t>País</t>
  </si>
  <si>
    <t>Cobre                Miles TMF</t>
  </si>
  <si>
    <t>Plata                Miles Oz F</t>
  </si>
  <si>
    <t>Chile</t>
  </si>
  <si>
    <t>China</t>
  </si>
  <si>
    <t>Peru</t>
  </si>
  <si>
    <t>United States</t>
  </si>
  <si>
    <t>Australia:</t>
  </si>
  <si>
    <t>Russia</t>
  </si>
  <si>
    <t>Congo</t>
  </si>
  <si>
    <t>Zambia:</t>
  </si>
  <si>
    <t>Canada</t>
  </si>
  <si>
    <t>Mexico:</t>
  </si>
  <si>
    <t>Otros</t>
  </si>
  <si>
    <t>Mexico</t>
  </si>
  <si>
    <t>Australia</t>
  </si>
  <si>
    <t>Bolivia</t>
  </si>
  <si>
    <t>Poland</t>
  </si>
  <si>
    <t>Zinc               Miles TMF</t>
  </si>
  <si>
    <t>Estaño               Miles Oz F</t>
  </si>
  <si>
    <t>India</t>
  </si>
  <si>
    <t>Kazakhstan</t>
  </si>
  <si>
    <t>Ireland</t>
  </si>
  <si>
    <t xml:space="preserve">Indonesia </t>
  </si>
  <si>
    <t>Brazil</t>
  </si>
  <si>
    <t>Burma</t>
  </si>
  <si>
    <t>Vietnam</t>
  </si>
  <si>
    <t>Malaysia</t>
  </si>
  <si>
    <t>Plomo              Miles TMF</t>
  </si>
  <si>
    <t>Oro               Miles Oz F</t>
  </si>
  <si>
    <t>Sweden</t>
  </si>
  <si>
    <t>South Africa</t>
  </si>
  <si>
    <t xml:space="preserve">Uzbekistane  </t>
  </si>
  <si>
    <t>Ghana</t>
  </si>
  <si>
    <t>Miles de toneladas métricas finas</t>
  </si>
  <si>
    <t>Kazakhstane</t>
  </si>
  <si>
    <t>Indonesia</t>
  </si>
  <si>
    <t>ZINC</t>
  </si>
  <si>
    <t>Irelande</t>
  </si>
  <si>
    <t>Rwanda</t>
  </si>
  <si>
    <t>Miles de onzas finas</t>
  </si>
  <si>
    <t>Papua New Guinea</t>
  </si>
  <si>
    <t>Destino</t>
  </si>
  <si>
    <t>EQUIPAMIENTO DE PLANTA DE BENEFICIO</t>
  </si>
  <si>
    <t>EQUIPAMIENTO MINERO</t>
  </si>
  <si>
    <t>EXPLORACIÓN</t>
  </si>
  <si>
    <t>EXPLOTACIÓN</t>
  </si>
  <si>
    <t>INFRAESTRUCTURA</t>
  </si>
  <si>
    <t>OTROS</t>
  </si>
  <si>
    <t>PREPARACIÓN</t>
  </si>
  <si>
    <t>COMPAÑIA MINERA ANTAPACCAY S.A. (ex  XSTRATA TINTAYA)</t>
  </si>
  <si>
    <t>XSTRATA LAS BAMBAS S.A.</t>
  </si>
  <si>
    <t>MINERA CHINALCO PERÚ S.A.</t>
  </si>
  <si>
    <t>SOCIEDAD MINERA CERRO VERDE S.A.A.</t>
  </si>
  <si>
    <t>COMPAÑIA MINERA ANTAMINA S.A.</t>
  </si>
  <si>
    <t>SOUTHERN PERU COPPER CORPORATION SUCURSAL DEL PERU</t>
  </si>
  <si>
    <t>COMPAÑIA DE MINAS BUENAVENTURA S.A.A.</t>
  </si>
  <si>
    <t>CONSORCIO MINERO HORIZONTE S.A.</t>
  </si>
  <si>
    <t>COMPAÑIA MINERA MISKI MAYO S.R.L.</t>
  </si>
  <si>
    <t>VOLCAN COMPAÑÍA MINERA S.A.A.</t>
  </si>
  <si>
    <t>MINERA BARRICK MISQUICHILCA S.A.</t>
  </si>
  <si>
    <t>HUDBAY PERU S.A.C.</t>
  </si>
  <si>
    <t>COMPAÑIA MINERA MILPO S.A.A.</t>
  </si>
  <si>
    <t>VOTORANTIM METAIS - CAJAMARQUILLA S.A.</t>
  </si>
  <si>
    <t>RIO TINTO MINERA PERU LIMITADA SAC</t>
  </si>
  <si>
    <t>COMPAÑIA MINERA ARES S.A.C.</t>
  </si>
  <si>
    <t>COMPAÑIA MINERA SANTA LUISA S.A.</t>
  </si>
  <si>
    <t>MINERA AURIFERA RETAMAS S.A.</t>
  </si>
  <si>
    <t>UNION ANDINA DE CEMENTOS S.A.A.</t>
  </si>
  <si>
    <t>LUMINA COPPER S.A.C.</t>
  </si>
  <si>
    <t>COMPAÑIA MINERA PODEROSA S.A.</t>
  </si>
  <si>
    <t>COMPAÑIA MINERA CASAPALCA S.A.</t>
  </si>
  <si>
    <t>ANGLO AMERICAN QUELLAVECO S.A.</t>
  </si>
  <si>
    <t>CEDIMIN S.A.C. COMPAÑIA DE EXPLORACIONES DESARROLLO E INVERSIONES MINERAS SAC.</t>
  </si>
  <si>
    <t>COMPAÑIA MINERA ALPAMARCA S.A.C.</t>
  </si>
  <si>
    <t>MINERA SUYAMARCA S.A.C.</t>
  </si>
  <si>
    <t>CANTERAS DEL HALLAZGO S.A.C.</t>
  </si>
  <si>
    <t>COMPAÑIA MINERA CONDESTABLE S.A.</t>
  </si>
  <si>
    <t>COMPAÑIA MINERA ATACOCHA S.A.A.</t>
  </si>
  <si>
    <t>SOCIEDAD MINERA CORONA S.A.</t>
  </si>
  <si>
    <t>MINERA IRL S.A.</t>
  </si>
  <si>
    <t>MINERA YANAQUIHUA S.A.C.</t>
  </si>
  <si>
    <t>CASTROVIRREYNA COMPAÑIA MINERA S.A.</t>
  </si>
  <si>
    <t>COMPAÑIA MINERA CAUDALOSA S.A.</t>
  </si>
  <si>
    <t>MINERA BATEAS S.A.C.</t>
  </si>
  <si>
    <t>ICM PACHAPAQUI S.A.C.</t>
  </si>
  <si>
    <t>Empresa</t>
  </si>
  <si>
    <t>Part.%2013</t>
  </si>
  <si>
    <t>Partic.% 2013</t>
  </si>
  <si>
    <t>AMAZONAS</t>
  </si>
  <si>
    <t>SAN MARTIN</t>
  </si>
  <si>
    <t>CALLAO</t>
  </si>
  <si>
    <t>Productos</t>
  </si>
  <si>
    <t xml:space="preserve"> Caliza / Dolomita</t>
  </si>
  <si>
    <t xml:space="preserve"> Fosfatos</t>
  </si>
  <si>
    <t xml:space="preserve"> Piedra / Hormigon</t>
  </si>
  <si>
    <t xml:space="preserve"> Arena</t>
  </si>
  <si>
    <t xml:space="preserve"> Arcillas</t>
  </si>
  <si>
    <t xml:space="preserve"> Calcita</t>
  </si>
  <si>
    <t xml:space="preserve"> Puzolana</t>
  </si>
  <si>
    <t xml:space="preserve"> Yeso</t>
  </si>
  <si>
    <t xml:space="preserve"> Andalucita</t>
  </si>
  <si>
    <t xml:space="preserve"> Silice</t>
  </si>
  <si>
    <t xml:space="preserve"> Carbón</t>
  </si>
  <si>
    <t xml:space="preserve"> Travertino</t>
  </si>
  <si>
    <t xml:space="preserve"> Boratos / Ulexita</t>
  </si>
  <si>
    <t xml:space="preserve"> Baritina</t>
  </si>
  <si>
    <t xml:space="preserve"> Caolin</t>
  </si>
  <si>
    <t xml:space="preserve"> Pizarra</t>
  </si>
  <si>
    <t xml:space="preserve"> Talco</t>
  </si>
  <si>
    <t xml:space="preserve"> Pirofilita</t>
  </si>
  <si>
    <t xml:space="preserve"> Feldespatos</t>
  </si>
  <si>
    <t xml:space="preserve"> Bentonita</t>
  </si>
  <si>
    <t xml:space="preserve"> Marmol</t>
  </si>
  <si>
    <t>Total Cartera de Proyectos</t>
  </si>
  <si>
    <t>Tipo/ Empresa</t>
  </si>
  <si>
    <t>Proyecto</t>
  </si>
  <si>
    <t>Mineral</t>
  </si>
  <si>
    <t>Inversión</t>
  </si>
  <si>
    <t>Ampliación</t>
  </si>
  <si>
    <t>SHOUGANG HIERRO PERU S.A.A.</t>
  </si>
  <si>
    <t>Fundición</t>
  </si>
  <si>
    <t>Toquepala</t>
  </si>
  <si>
    <t>Refinería de Ilo</t>
  </si>
  <si>
    <t>Bayovar</t>
  </si>
  <si>
    <t>Marcona</t>
  </si>
  <si>
    <t>Cerro Verde</t>
  </si>
  <si>
    <t>Colquijirca</t>
  </si>
  <si>
    <t>Toromocho</t>
  </si>
  <si>
    <t>P/D</t>
  </si>
  <si>
    <t>CON EIA APROBADO EN CONSTRUCCIÓN</t>
  </si>
  <si>
    <t>HUDBAY PERU  S.A.C.</t>
  </si>
  <si>
    <t>MINERA SHOUXIN PERU S.A.</t>
  </si>
  <si>
    <t>Quellaveco</t>
  </si>
  <si>
    <t>Crespo</t>
  </si>
  <si>
    <t>Constancia</t>
  </si>
  <si>
    <t>Explotacion de relaves</t>
  </si>
  <si>
    <t>Inmaculada</t>
  </si>
  <si>
    <t>Las Bambas</t>
  </si>
  <si>
    <t>CON EIA PRESENTADO</t>
  </si>
  <si>
    <t>COMPAÑÍA DE MINAS BUENAVENTURA S.A.A.</t>
  </si>
  <si>
    <t>Pukaqaqa</t>
  </si>
  <si>
    <t>Tia Maria</t>
  </si>
  <si>
    <t>Tambomayo</t>
  </si>
  <si>
    <t>AMERICAS POTASH PERU S.A.</t>
  </si>
  <si>
    <t>ANABI S.A.C.</t>
  </si>
  <si>
    <t>ANGLO AMERICAN MICHIQUILLAY S.A.</t>
  </si>
  <si>
    <t>APURIMAC FERRUM S.A.</t>
  </si>
  <si>
    <t>CAÑARIACO COPPER PERU S.A.</t>
  </si>
  <si>
    <t>COMPAÑIA MINERA CENTAURO S.A.</t>
  </si>
  <si>
    <t>COMPAÑIA MINERA QUECHUA S.A.</t>
  </si>
  <si>
    <t>COMPAÑIA MINERA VICHAYCOCHA S.A.C.</t>
  </si>
  <si>
    <t>EXPLORACIONES COLLASUYO S.A.C.</t>
  </si>
  <si>
    <t>HAMPTON MINING PERU SAC</t>
  </si>
  <si>
    <t>JINZHAO MINING PERU S.A.</t>
  </si>
  <si>
    <t>JUNEFIELD GROUP S.A.</t>
  </si>
  <si>
    <t>MANTARO PERU S.A.C.</t>
  </si>
  <si>
    <t>MARCOBRE S.A.C.</t>
  </si>
  <si>
    <t>MINERA ANTARES PERU SAC</t>
  </si>
  <si>
    <t>MINERA AQM COPPER PERU S.A.C.</t>
  </si>
  <si>
    <t>MINERA CUERVO S.A.C.</t>
  </si>
  <si>
    <t>RIO BLANCO COPPER S.A.</t>
  </si>
  <si>
    <t>EN EXPLORACION</t>
  </si>
  <si>
    <t>Salmueras de Sechura</t>
  </si>
  <si>
    <t>Anubia</t>
  </si>
  <si>
    <t>Michiquillay</t>
  </si>
  <si>
    <t>Hierro Apurimac</t>
  </si>
  <si>
    <t>Chucapaca</t>
  </si>
  <si>
    <t>Cañariaco</t>
  </si>
  <si>
    <t>Quicay II</t>
  </si>
  <si>
    <t>Hilarión</t>
  </si>
  <si>
    <t>Magistral</t>
  </si>
  <si>
    <t>Quechua</t>
  </si>
  <si>
    <t>Rondoni</t>
  </si>
  <si>
    <t>Accha</t>
  </si>
  <si>
    <t>Los Calatos</t>
  </si>
  <si>
    <t>Pampa de Pongo</t>
  </si>
  <si>
    <t>Cercana</t>
  </si>
  <si>
    <t>Galeno</t>
  </si>
  <si>
    <t>Fosfatos Mantaro</t>
  </si>
  <si>
    <t>Marcobre (Mina Justa)</t>
  </si>
  <si>
    <t>Haquira</t>
  </si>
  <si>
    <t>Zafranal</t>
  </si>
  <si>
    <t>Cerro Ccopane</t>
  </si>
  <si>
    <t>Explotacion de relaves Bofedal II</t>
  </si>
  <si>
    <t>Río Blanco</t>
  </si>
  <si>
    <t>La Granja</t>
  </si>
  <si>
    <t>Los Chancas</t>
  </si>
  <si>
    <t>Molibedeno(TMF)</t>
  </si>
  <si>
    <t>Ancash</t>
  </si>
  <si>
    <t>Arequipa</t>
  </si>
  <si>
    <t>Moquegua</t>
  </si>
  <si>
    <t>Tacna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</si>
  <si>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</si>
  <si>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</si>
  <si>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</si>
  <si>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</si>
  <si>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</si>
  <si>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</si>
  <si>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</si>
  <si>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</si>
  <si>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</si>
  <si>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</si>
  <si>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</si>
  <si>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</si>
  <si>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</si>
  <si>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</si>
  <si>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</si>
  <si>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</si>
  <si>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</si>
  <si>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</si>
  <si>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</si>
  <si>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</si>
  <si>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</si>
  <si>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</si>
  <si>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</si>
  <si>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</si>
  <si>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</si>
  <si>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>VOLUMEN DE LA PRODUCCIÓN MINERO METÁLICA, POR PRINCIPALES METALES 2000-1013</t>
  </si>
  <si>
    <t xml:space="preserve"> VOLUMEN DE LA PRODUCCIÓN MINERO NO METÁLICA, POR PRINCIPALES METALES 2000-1013</t>
  </si>
  <si>
    <t xml:space="preserve"> PRODUCCIÓN MINERA POR PRINCIPALES PRODUCTOS, SEGÚN ESTRATO 2009-2013</t>
  </si>
  <si>
    <t>PRODUCCIÓN DE COBRE,SEGÚN EMPRESA MINERA, 2007-2013                                                          (Toneladas Métricas de Contenido Fino)</t>
  </si>
  <si>
    <t>PRODUCCIÓN DE ZINC,SEGÚN EMPRESA MINERA, 2007-2013                                                              (Toneladas Métricas de Contenido Fino)</t>
  </si>
  <si>
    <t>PRODUCCIÓN DE ORO,SEGÚN EMPRESA MINERA, 2007-2013                                                              (Onzas Finas)</t>
  </si>
  <si>
    <t>PRODUCCIÓN DE PLATA,SEGÚN EMPRESA MINERA, 2007-2013                                                              (Miles Onzas Finas)</t>
  </si>
  <si>
    <t>PRODUCCIÓN DE PLOMO,SEGÚN EMPRESA MINERA, 2007-2013                                                              (Toneladas Métricas de Contenido Fino)</t>
  </si>
  <si>
    <t>PRODUCCIÓN DE COBRE,SEGÚN REGIÓN, 2007-2013                                                                               (Toneladas Métricas de Contenido Fino)</t>
  </si>
  <si>
    <t>PRODUCCIÓN DE ZINC,SEGÚN REGIÓN, 2007-2013                                                                               (Toneladas Métricas de Contenido Fino)</t>
  </si>
  <si>
    <t>PRODUCCIÓN DE ORO,SEGÚN REGIÓN, 2007-2013                                                                               (Onzas Fino)</t>
  </si>
  <si>
    <t>PRODUCCIÓN DE PLATA,SEGÚN REGIÓN, 2007-2013                                                                               (Miles Onzas Fino)</t>
  </si>
  <si>
    <t>PRODUCCIÓN DE PLOMO,SEGÚN REGIÓN, 2007-2013                                                                               (Toneladas Métricas de Contenido Fino)</t>
  </si>
  <si>
    <t>PRODUCCIÓN DE HIERRO,ESTAÑO,SEGÚN EMPRESA Y REGIÓN, 2007-2013</t>
  </si>
  <si>
    <t>RESERVAS MINERAS PROBADAS Y PROBABLES DE PRINCIPALES METALES, 2006-2013</t>
  </si>
  <si>
    <t>RESERVAS MINERAS DE PRINCIPALES METALES,SEGÚN REGIÓN 2012</t>
  </si>
  <si>
    <t>UBICACIÓN DEL PERÚ EN EL RANKING MUNDIAL DE PRODUCCIÓN MINERA, 2010-2013</t>
  </si>
  <si>
    <t>RANKING MUNDIAL DE PRODUCCIÓN MINERA, SEGÚN PAÍS 2013</t>
  </si>
  <si>
    <t>PRODUCCIÓN MINERAMUNDIAL , SEGÚN PAÍS 2007-2013</t>
  </si>
  <si>
    <t>INVERSIÓN EN MINERÍA, SEGÚN DESTINO, 2007-2013 (Miles de US Dólares)</t>
  </si>
  <si>
    <t>INVERSIÓN EN MINERÍA, SEGÚN EMPRESA, 2007-2013 (Miles de US Dólares)</t>
  </si>
  <si>
    <t>INVERSIÓN EN MINERÍA, SEGÚN REGIÓN, 2007-2013 (Miles de US Dólares)</t>
  </si>
  <si>
    <r>
      <t xml:space="preserve">CARTERA DE PROYECTOS DE INVERSIÓN EN MINERÍA, SEGÚN TIPO </t>
    </r>
    <r>
      <rPr>
        <sz val="10"/>
        <color theme="1"/>
        <rFont val="Arial"/>
        <family val="2"/>
      </rPr>
      <t>(Millones de US Dólares)</t>
    </r>
  </si>
  <si>
    <r>
      <t xml:space="preserve">APORTE ECONÓMICO DE LA ACTIVIDAD MINERA, SEGÚN REGIÓN , 2007-2013                                                          </t>
    </r>
    <r>
      <rPr>
        <sz val="10"/>
        <color theme="1"/>
        <rFont val="Arial"/>
        <family val="2"/>
      </rPr>
      <t>(Miles de Nuevos Soles)</t>
    </r>
  </si>
  <si>
    <r>
      <t xml:space="preserve">MONTO DE TRANSFERENCIA POR CANON MINERO, SEGÚN REGIÓN , 2007-2013                                                          </t>
    </r>
    <r>
      <rPr>
        <sz val="10"/>
        <color theme="1"/>
        <rFont val="Arial"/>
        <family val="2"/>
      </rPr>
      <t>(Miles de Nuevos Soles)</t>
    </r>
  </si>
  <si>
    <r>
      <t xml:space="preserve">MONTO DE TRANSFERENCIA POR REGALÍA MINERA, SEGÚN REGIÓN , 2007-2013                                                          </t>
    </r>
    <r>
      <rPr>
        <sz val="10"/>
        <color theme="1"/>
        <rFont val="Arial"/>
        <family val="2"/>
      </rPr>
      <t>(Miles de Nuevos Soles)</t>
    </r>
  </si>
  <si>
    <r>
      <t xml:space="preserve">MONTO DE TRANSFERENCIA POR DERECHO DE VIGENCIA Y PENALIDAD, SEGÚN REGIÓN , 2007-2013                                                          </t>
    </r>
    <r>
      <rPr>
        <sz val="10"/>
        <color theme="1"/>
        <rFont val="Arial"/>
        <family val="2"/>
      </rPr>
      <t>(Miles de Nuevos Soles)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</si>
</sst>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#&quot; &quot;###&quot; &quot;###"/>
    <numFmt numFmtId="166" formatCode="#.0&quot; &quot;###&quot; &quot;###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Verdana"/>
      <family val="2"/>
    </font>
    <font>
      <sz val="10"/>
      <name val="Helv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" fontId="3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2" fillId="0" borderId="0">
      <alignment wrapText="1"/>
    </xf>
  </cellStyleXfs>
  <cellXfs count="117">
    <xf numFmtId="0" fontId="0" fillId="0" borderId="0" xfId="0"/>
    <xf numFmtId="3" fontId="9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/>
    <xf numFmtId="0" fontId="1" fillId="2" borderId="2" xfId="0" applyFont="1" applyFill="1" applyBorder="1" applyAlignment="1"/>
    <xf numFmtId="0" fontId="7" fillId="3" borderId="2" xfId="10" applyFont="1" applyFill="1" applyBorder="1" applyAlignment="1">
      <alignment vertical="center" wrapText="1"/>
    </xf>
    <xf numFmtId="0" fontId="2" fillId="3" borderId="9" xfId="8" applyFont="1" applyFill="1" applyBorder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1" fillId="2" borderId="0" xfId="0" applyFont="1" applyFill="1"/>
    <xf numFmtId="49" fontId="11" fillId="2" borderId="2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right" vertical="center"/>
    </xf>
    <xf numFmtId="165" fontId="11" fillId="2" borderId="8" xfId="0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3" fontId="12" fillId="2" borderId="0" xfId="7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3" fontId="11" fillId="2" borderId="8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2" fillId="2" borderId="0" xfId="9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/>
    <xf numFmtId="3" fontId="11" fillId="2" borderId="0" xfId="0" quotePrefix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2" xfId="7" applyFont="1" applyFill="1" applyBorder="1" applyAlignment="1" applyProtection="1">
      <alignment vertical="center" wrapText="1"/>
    </xf>
    <xf numFmtId="0" fontId="7" fillId="2" borderId="3" xfId="7" applyFont="1" applyFill="1" applyBorder="1" applyAlignment="1" applyProtection="1">
      <alignment vertical="center" wrapText="1"/>
    </xf>
    <xf numFmtId="3" fontId="11" fillId="2" borderId="1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left" vertical="center"/>
    </xf>
    <xf numFmtId="3" fontId="11" fillId="2" borderId="8" xfId="0" applyNumberFormat="1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2" borderId="12" xfId="0" applyFont="1" applyFill="1" applyBorder="1"/>
    <xf numFmtId="165" fontId="9" fillId="2" borderId="0" xfId="0" applyNumberFormat="1" applyFont="1" applyFill="1" applyBorder="1" applyAlignment="1">
      <alignment horizontal="right" vertical="center"/>
    </xf>
    <xf numFmtId="0" fontId="7" fillId="3" borderId="3" xfId="10" applyFont="1" applyFill="1" applyBorder="1" applyAlignment="1">
      <alignment vertical="center" wrapText="1"/>
    </xf>
    <xf numFmtId="0" fontId="11" fillId="2" borderId="8" xfId="0" applyFont="1" applyFill="1" applyBorder="1"/>
    <xf numFmtId="0" fontId="11" fillId="2" borderId="10" xfId="0" applyFont="1" applyFill="1" applyBorder="1"/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12" xfId="0" applyFont="1" applyFill="1" applyBorder="1"/>
    <xf numFmtId="166" fontId="11" fillId="2" borderId="0" xfId="0" applyNumberFormat="1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165" fontId="11" fillId="2" borderId="10" xfId="0" applyNumberFormat="1" applyFont="1" applyFill="1" applyBorder="1" applyAlignment="1">
      <alignment horizontal="right" vertical="center"/>
    </xf>
    <xf numFmtId="165" fontId="11" fillId="2" borderId="9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/>
    </xf>
    <xf numFmtId="0" fontId="9" fillId="2" borderId="0" xfId="0" applyFont="1" applyFill="1" applyBorder="1"/>
    <xf numFmtId="3" fontId="9" fillId="2" borderId="10" xfId="0" applyNumberFormat="1" applyFont="1" applyFill="1" applyBorder="1"/>
    <xf numFmtId="3" fontId="11" fillId="2" borderId="10" xfId="0" applyNumberFormat="1" applyFont="1" applyFill="1" applyBorder="1"/>
    <xf numFmtId="0" fontId="7" fillId="2" borderId="3" xfId="8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165" fontId="9" fillId="2" borderId="1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/>
    <xf numFmtId="165" fontId="1" fillId="2" borderId="10" xfId="0" applyNumberFormat="1" applyFont="1" applyFill="1" applyBorder="1" applyAlignment="1"/>
    <xf numFmtId="165" fontId="10" fillId="2" borderId="10" xfId="0" applyNumberFormat="1" applyFont="1" applyFill="1" applyBorder="1" applyAlignment="1"/>
    <xf numFmtId="0" fontId="11" fillId="2" borderId="5" xfId="0" applyFont="1" applyFill="1" applyBorder="1"/>
    <xf numFmtId="165" fontId="9" fillId="2" borderId="0" xfId="0" applyNumberFormat="1" applyFont="1" applyFill="1" applyBorder="1"/>
    <xf numFmtId="165" fontId="9" fillId="2" borderId="10" xfId="0" applyNumberFormat="1" applyFont="1" applyFill="1" applyBorder="1"/>
    <xf numFmtId="10" fontId="11" fillId="2" borderId="10" xfId="6" applyNumberFormat="1" applyFont="1" applyFill="1" applyBorder="1"/>
    <xf numFmtId="10" fontId="11" fillId="2" borderId="9" xfId="6" applyNumberFormat="1" applyFont="1" applyFill="1" applyBorder="1"/>
    <xf numFmtId="0" fontId="11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left" wrapText="1"/>
    </xf>
    <xf numFmtId="0" fontId="9" fillId="2" borderId="1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</cellXfs>
  <cellStyles count="11">
    <cellStyle name="Border" xfId="2"/>
    <cellStyle name="Comma_Data Proyecto Antamina" xfId="3"/>
    <cellStyle name="Millares 2" xfId="4"/>
    <cellStyle name="No-definido" xfId="5"/>
    <cellStyle name="Normal" xfId="0" builtinId="0"/>
    <cellStyle name="Normal 2" xfId="1"/>
    <cellStyle name="Normal_CU99" xfId="8"/>
    <cellStyle name="Normal_IEC12015" xfId="9"/>
    <cellStyle name="Normal_PBEST97" xfId="7"/>
    <cellStyle name="Normal_RESERVAS-FINAS-2006-REGIONES" xfId="10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0"/>
  <sheetViews>
    <sheetView tabSelected="1" zoomScale="55" zoomScaleNormal="55" workbookViewId="0">
      <selection sqref="A1:F2"/>
    </sheetView>
  </sheetViews>
  <sheetFormatPr baseColWidth="10" defaultColWidth="11.44140625" defaultRowHeight="13.8" x14ac:dyDescent="0.3"/>
  <cols>
    <col min="1" max="1" width="47.109375" style="8" customWidth="1"/>
    <col min="2" max="2" width="17.44140625" style="8" customWidth="1"/>
    <col min="3" max="3" width="13.6640625" style="8" customWidth="1"/>
    <col min="4" max="4" width="12.88671875" style="8" customWidth="1"/>
    <col min="5" max="5" width="14.33203125" style="8" customWidth="1"/>
    <col min="6" max="6" width="13.33203125" style="8" customWidth="1"/>
    <col min="7" max="7" width="14.44140625" style="8" customWidth="1"/>
    <col min="8" max="8" width="14.6640625" style="8" customWidth="1"/>
    <col min="9" max="9" width="12" style="8" customWidth="1"/>
    <col min="10" max="16384" width="11.44140625" style="8"/>
  </cols>
  <sheetData>
    <row r="1" spans="1:9" ht="15" customHeight="1" x14ac:dyDescent="0.3">
      <c r="A1" s="77" t="s">
        <v>399</v>
      </c>
      <c r="B1" s="77"/>
      <c r="C1" s="77"/>
      <c r="D1" s="77"/>
      <c r="E1" s="77"/>
      <c r="F1" s="77"/>
    </row>
    <row r="2" spans="1:9" x14ac:dyDescent="0.3">
      <c r="A2" s="77"/>
      <c r="B2" s="77"/>
      <c r="C2" s="77"/>
      <c r="D2" s="77"/>
      <c r="E2" s="77"/>
      <c r="F2" s="77"/>
    </row>
    <row r="3" spans="1:9" ht="14.4" thickBot="1" x14ac:dyDescent="0.35"/>
    <row r="4" spans="1:9" ht="15" customHeight="1" x14ac:dyDescent="0.3">
      <c r="A4" s="86" t="s">
        <v>0</v>
      </c>
      <c r="B4" s="86" t="s">
        <v>4</v>
      </c>
      <c r="C4" s="84" t="s">
        <v>3</v>
      </c>
      <c r="D4" s="95" t="s">
        <v>1</v>
      </c>
      <c r="E4" s="95" t="s">
        <v>2</v>
      </c>
      <c r="F4" s="84" t="s">
        <v>5</v>
      </c>
      <c r="G4" s="84" t="s">
        <v>6</v>
      </c>
      <c r="H4" s="84" t="s">
        <v>7</v>
      </c>
      <c r="I4" s="92" t="s">
        <v>8</v>
      </c>
    </row>
    <row r="5" spans="1:9" ht="14.4" thickBot="1" x14ac:dyDescent="0.35">
      <c r="A5" s="87" t="s">
        <v>0</v>
      </c>
      <c r="B5" s="94"/>
      <c r="C5" s="85"/>
      <c r="D5" s="96"/>
      <c r="E5" s="96"/>
      <c r="F5" s="85"/>
      <c r="G5" s="85"/>
      <c r="H5" s="85"/>
      <c r="I5" s="93"/>
    </row>
    <row r="6" spans="1:9" x14ac:dyDescent="0.3">
      <c r="A6" s="9">
        <v>2000</v>
      </c>
      <c r="B6" s="10">
        <v>553924</v>
      </c>
      <c r="C6" s="10">
        <v>910303</v>
      </c>
      <c r="D6" s="10">
        <v>4262692</v>
      </c>
      <c r="E6" s="10">
        <v>78373751</v>
      </c>
      <c r="F6" s="10">
        <v>270576</v>
      </c>
      <c r="G6" s="10">
        <v>2768489</v>
      </c>
      <c r="H6" s="10">
        <v>37410</v>
      </c>
      <c r="I6" s="50">
        <v>7193</v>
      </c>
    </row>
    <row r="7" spans="1:9" x14ac:dyDescent="0.3">
      <c r="A7" s="9">
        <v>2001</v>
      </c>
      <c r="B7" s="10">
        <v>722355.34555900004</v>
      </c>
      <c r="C7" s="10">
        <v>1056629.375614</v>
      </c>
      <c r="D7" s="10">
        <f>1000*4453.57158854081</f>
        <v>4453571.5885408102</v>
      </c>
      <c r="E7" s="10">
        <f>1000*82663.2193071322</f>
        <v>82663219.307132199</v>
      </c>
      <c r="F7" s="10">
        <v>289546.06610699999</v>
      </c>
      <c r="G7" s="10">
        <v>3038401</v>
      </c>
      <c r="H7" s="10">
        <v>38182</v>
      </c>
      <c r="I7" s="50">
        <v>9499</v>
      </c>
    </row>
    <row r="8" spans="1:9" x14ac:dyDescent="0.3">
      <c r="A8" s="9">
        <v>2002</v>
      </c>
      <c r="B8" s="10">
        <v>844552.87496099982</v>
      </c>
      <c r="C8" s="10">
        <v>1232996.9204690002</v>
      </c>
      <c r="D8" s="10">
        <f>1000*5064.6844267478</f>
        <v>5064684.4267477999</v>
      </c>
      <c r="E8" s="10">
        <f>1000*92261.490980977</f>
        <v>92261490.980976999</v>
      </c>
      <c r="F8" s="10">
        <v>305650.71951299999</v>
      </c>
      <c r="G8" s="10">
        <v>3056055.1</v>
      </c>
      <c r="H8" s="10">
        <v>38815.044966000001</v>
      </c>
      <c r="I8" s="50">
        <v>8613</v>
      </c>
    </row>
    <row r="9" spans="1:9" x14ac:dyDescent="0.3">
      <c r="A9" s="9">
        <v>2003</v>
      </c>
      <c r="B9" s="10">
        <v>842605.07863000012</v>
      </c>
      <c r="C9" s="10">
        <v>1373792.267121</v>
      </c>
      <c r="D9" s="10">
        <f>1000*5549.9887422742</f>
        <v>5549988.7422742005</v>
      </c>
      <c r="E9" s="10">
        <f>1000*93998.3282401394</f>
        <v>93998328.240139395</v>
      </c>
      <c r="F9" s="10">
        <v>309163.88219000003</v>
      </c>
      <c r="G9" s="10">
        <v>3484900</v>
      </c>
      <c r="H9" s="10">
        <v>40202.178839999993</v>
      </c>
      <c r="I9" s="50">
        <v>9590</v>
      </c>
    </row>
    <row r="10" spans="1:9" x14ac:dyDescent="0.3">
      <c r="A10" s="9">
        <v>2004</v>
      </c>
      <c r="B10" s="10">
        <v>1035574.04973</v>
      </c>
      <c r="C10" s="10">
        <v>1209005.7091610001</v>
      </c>
      <c r="D10" s="10">
        <f>1000*5569.25299276781</f>
        <v>5569252.9927678099</v>
      </c>
      <c r="E10" s="10">
        <f>1000*98374.7557563433</f>
        <v>98374755.75634329</v>
      </c>
      <c r="F10" s="10">
        <v>306210.77793800004</v>
      </c>
      <c r="G10" s="10">
        <v>4247173.5999999996</v>
      </c>
      <c r="H10" s="10">
        <v>41613.363517999998</v>
      </c>
      <c r="I10" s="50">
        <v>14246</v>
      </c>
    </row>
    <row r="11" spans="1:9" x14ac:dyDescent="0.3">
      <c r="A11" s="9">
        <v>2005</v>
      </c>
      <c r="B11" s="10">
        <v>1009898.5723259998</v>
      </c>
      <c r="C11" s="10">
        <v>1201670.9152229999</v>
      </c>
      <c r="D11" s="10">
        <f>1000*6687.38402688975</f>
        <v>6687384.0268897498</v>
      </c>
      <c r="E11" s="10">
        <f>1000*103064.364822721</f>
        <v>103064364.822721</v>
      </c>
      <c r="F11" s="10">
        <v>319367.50521100004</v>
      </c>
      <c r="G11" s="10">
        <v>4564989</v>
      </c>
      <c r="H11" s="10">
        <v>42145</v>
      </c>
      <c r="I11" s="50">
        <v>17325</v>
      </c>
    </row>
    <row r="12" spans="1:9" x14ac:dyDescent="0.3">
      <c r="A12" s="9">
        <v>2006</v>
      </c>
      <c r="B12" s="10">
        <v>1048472.4635900002</v>
      </c>
      <c r="C12" s="10">
        <v>1203364.0679980002</v>
      </c>
      <c r="D12" s="10">
        <f>1000*6520.84540727758</f>
        <v>6520845.4072775804</v>
      </c>
      <c r="E12" s="10">
        <f>1000*111583.908069195</f>
        <v>111583908.06919499</v>
      </c>
      <c r="F12" s="10">
        <v>313332.28608800005</v>
      </c>
      <c r="G12" s="10">
        <v>4784600.5820000004</v>
      </c>
      <c r="H12" s="10">
        <v>38469.547186000011</v>
      </c>
      <c r="I12" s="50">
        <v>17209</v>
      </c>
    </row>
    <row r="13" spans="1:9" x14ac:dyDescent="0.3">
      <c r="A13" s="9">
        <v>2007</v>
      </c>
      <c r="B13" s="10">
        <v>1190273.6039159999</v>
      </c>
      <c r="C13" s="10">
        <v>1444361.4378259999</v>
      </c>
      <c r="D13" s="10">
        <f>1000*5473.18845713696</f>
        <v>5473188.4571369598</v>
      </c>
      <c r="E13" s="10">
        <f>1000*112574.169087598</f>
        <v>112574169.087598</v>
      </c>
      <c r="F13" s="10">
        <v>329164.77903500007</v>
      </c>
      <c r="G13" s="10">
        <v>5103597.2635999992</v>
      </c>
      <c r="H13" s="10">
        <v>39018.915689000001</v>
      </c>
      <c r="I13" s="50">
        <v>16787</v>
      </c>
    </row>
    <row r="14" spans="1:9" x14ac:dyDescent="0.3">
      <c r="A14" s="9">
        <v>2008</v>
      </c>
      <c r="B14" s="10">
        <v>1267866.5800789997</v>
      </c>
      <c r="C14" s="10">
        <v>1602597.0080210001</v>
      </c>
      <c r="D14" s="10">
        <f>1000*5782.94708636968</f>
        <v>5782947.0863696793</v>
      </c>
      <c r="E14" s="10">
        <f>1000*118504.964096632</f>
        <v>118504964.096632</v>
      </c>
      <c r="F14" s="10">
        <v>345109.27027199994</v>
      </c>
      <c r="G14" s="10">
        <v>5160707.0164000001</v>
      </c>
      <c r="H14" s="10">
        <v>39037.065935000006</v>
      </c>
      <c r="I14" s="50">
        <v>16721</v>
      </c>
    </row>
    <row r="15" spans="1:9" x14ac:dyDescent="0.3">
      <c r="A15" s="9">
        <v>2009</v>
      </c>
      <c r="B15" s="10">
        <v>1276249.2028349999</v>
      </c>
      <c r="C15" s="10">
        <v>1512931.0674320001</v>
      </c>
      <c r="D15" s="10">
        <f>1000*5915.54326533848</f>
        <v>5915543.2653384795</v>
      </c>
      <c r="E15" s="10">
        <f>1000*126117.503965136</f>
        <v>126117503.96513599</v>
      </c>
      <c r="F15" s="10">
        <v>302459.11291000003</v>
      </c>
      <c r="G15" s="10">
        <v>4418768.325600001</v>
      </c>
      <c r="H15" s="10">
        <v>37502.627191</v>
      </c>
      <c r="I15" s="50">
        <v>12297</v>
      </c>
    </row>
    <row r="16" spans="1:9" x14ac:dyDescent="0.3">
      <c r="A16" s="9">
        <v>2010</v>
      </c>
      <c r="B16" s="10">
        <v>1247184.0293920001</v>
      </c>
      <c r="C16" s="10">
        <v>1470449.7064990001</v>
      </c>
      <c r="D16" s="10">
        <f>1000*5275.41470766178</f>
        <v>5275414.7076617805</v>
      </c>
      <c r="E16" s="10">
        <f>1000*117043.218924819</f>
        <v>117043218.92481899</v>
      </c>
      <c r="F16" s="10">
        <v>261989.60579399997</v>
      </c>
      <c r="G16" s="10">
        <v>6042644.2223000005</v>
      </c>
      <c r="H16" s="10">
        <v>33847.813441999999</v>
      </c>
      <c r="I16" s="50">
        <v>16963.268972999998</v>
      </c>
    </row>
    <row r="17" spans="1:9" x14ac:dyDescent="0.3">
      <c r="A17" s="9">
        <v>2011</v>
      </c>
      <c r="B17" s="10">
        <v>1235345.0680180006</v>
      </c>
      <c r="C17" s="10">
        <v>1256382.6002109998</v>
      </c>
      <c r="D17" s="10">
        <f>1000*5343.00585725296</f>
        <v>5343005.8572529601</v>
      </c>
      <c r="E17" s="10">
        <f>1000*109918.8102786</f>
        <v>109918810.27859999</v>
      </c>
      <c r="F17" s="10">
        <v>230199.08238499996</v>
      </c>
      <c r="G17" s="10">
        <v>7010937.8915999997</v>
      </c>
      <c r="H17" s="10">
        <v>28881.790965999997</v>
      </c>
      <c r="I17" s="50">
        <v>19141.078052000001</v>
      </c>
    </row>
    <row r="18" spans="1:9" x14ac:dyDescent="0.3">
      <c r="A18" s="9">
        <v>2012</v>
      </c>
      <c r="B18" s="10">
        <v>1298563.8286839998</v>
      </c>
      <c r="C18" s="10">
        <v>1281282.4314850003</v>
      </c>
      <c r="D18" s="10">
        <f>1000*5193.69556460082</f>
        <v>5193695.5646008197</v>
      </c>
      <c r="E18" s="10">
        <f>1000*111911.986321474</f>
        <v>111911986.321474</v>
      </c>
      <c r="F18" s="10">
        <v>251099.98831700001</v>
      </c>
      <c r="G18" s="10">
        <v>6684539.3917999994</v>
      </c>
      <c r="H18" s="10">
        <v>26104.854506999996</v>
      </c>
      <c r="I18" s="50">
        <v>16790</v>
      </c>
    </row>
    <row r="19" spans="1:9" ht="14.4" thickBot="1" x14ac:dyDescent="0.35">
      <c r="A19" s="11">
        <v>2013</v>
      </c>
      <c r="B19" s="51">
        <v>1375641</v>
      </c>
      <c r="C19" s="51">
        <v>1351273.497094</v>
      </c>
      <c r="D19" s="51">
        <f>1000*4870.36747000347</f>
        <v>4870367.4700034698</v>
      </c>
      <c r="E19" s="51">
        <f>1000*118130.754721231</f>
        <v>118130754.721231</v>
      </c>
      <c r="F19" s="51">
        <v>266472.33039300004</v>
      </c>
      <c r="G19" s="51">
        <v>6680658.79</v>
      </c>
      <c r="H19" s="51">
        <v>23667.787450999997</v>
      </c>
      <c r="I19" s="52">
        <v>18140</v>
      </c>
    </row>
    <row r="20" spans="1:9" x14ac:dyDescent="0.3">
      <c r="A20" s="12"/>
      <c r="B20" s="10"/>
      <c r="C20" s="10"/>
      <c r="D20" s="10"/>
      <c r="E20" s="10"/>
      <c r="F20" s="10"/>
      <c r="G20" s="10"/>
      <c r="H20" s="10"/>
      <c r="I20" s="10"/>
    </row>
    <row r="21" spans="1:9" x14ac:dyDescent="0.3">
      <c r="A21" s="77" t="s">
        <v>400</v>
      </c>
      <c r="B21" s="77"/>
      <c r="C21" s="77"/>
      <c r="D21" s="77"/>
      <c r="E21" s="77"/>
      <c r="F21" s="77"/>
      <c r="G21" s="10"/>
      <c r="H21" s="10"/>
      <c r="I21" s="10"/>
    </row>
    <row r="22" spans="1:9" x14ac:dyDescent="0.3">
      <c r="A22" s="77"/>
      <c r="B22" s="77"/>
      <c r="C22" s="77"/>
      <c r="D22" s="77"/>
      <c r="E22" s="77"/>
      <c r="F22" s="77"/>
      <c r="G22" s="10"/>
      <c r="H22" s="10"/>
      <c r="I22" s="10"/>
    </row>
    <row r="23" spans="1:9" ht="14.4" thickBot="1" x14ac:dyDescent="0.35">
      <c r="A23" s="12"/>
      <c r="B23" s="10"/>
      <c r="C23" s="10"/>
      <c r="D23" s="10"/>
      <c r="E23" s="10"/>
      <c r="F23" s="10"/>
      <c r="G23" s="10"/>
      <c r="H23" s="10"/>
      <c r="I23" s="10"/>
    </row>
    <row r="24" spans="1:9" x14ac:dyDescent="0.3">
      <c r="A24" s="97" t="s">
        <v>273</v>
      </c>
      <c r="B24" s="88">
        <v>2007</v>
      </c>
      <c r="C24" s="88">
        <v>2008</v>
      </c>
      <c r="D24" s="88">
        <v>2009</v>
      </c>
      <c r="E24" s="88">
        <v>2010</v>
      </c>
      <c r="F24" s="88">
        <v>2011</v>
      </c>
      <c r="G24" s="88">
        <v>2012</v>
      </c>
      <c r="H24" s="88">
        <v>2013</v>
      </c>
      <c r="I24" s="10"/>
    </row>
    <row r="25" spans="1:9" ht="14.4" thickBot="1" x14ac:dyDescent="0.35">
      <c r="A25" s="98" t="s">
        <v>0</v>
      </c>
      <c r="B25" s="89"/>
      <c r="C25" s="89"/>
      <c r="D25" s="89"/>
      <c r="E25" s="89"/>
      <c r="F25" s="89"/>
      <c r="G25" s="89"/>
      <c r="H25" s="89"/>
      <c r="I25" s="10"/>
    </row>
    <row r="26" spans="1:9" x14ac:dyDescent="0.3">
      <c r="A26" s="9" t="s">
        <v>282</v>
      </c>
      <c r="B26" s="13">
        <v>0</v>
      </c>
      <c r="C26" s="13">
        <v>0</v>
      </c>
      <c r="D26" s="13">
        <v>0</v>
      </c>
      <c r="E26" s="13">
        <v>42770</v>
      </c>
      <c r="F26" s="13">
        <v>276860</v>
      </c>
      <c r="G26" s="13">
        <v>374788</v>
      </c>
      <c r="H26" s="53">
        <v>322240</v>
      </c>
      <c r="I26" s="10"/>
    </row>
    <row r="27" spans="1:9" x14ac:dyDescent="0.3">
      <c r="A27" s="9" t="s">
        <v>278</v>
      </c>
      <c r="B27" s="13">
        <v>2183804</v>
      </c>
      <c r="C27" s="13">
        <v>1720893.922</v>
      </c>
      <c r="D27" s="13">
        <v>2048129.88</v>
      </c>
      <c r="E27" s="13">
        <v>1120043.3600000001</v>
      </c>
      <c r="F27" s="13">
        <v>1021502.3490000002</v>
      </c>
      <c r="G27" s="13">
        <v>1098546</v>
      </c>
      <c r="H27" s="53">
        <v>1291939</v>
      </c>
      <c r="I27" s="10"/>
    </row>
    <row r="28" spans="1:9" x14ac:dyDescent="0.3">
      <c r="A28" s="9" t="s">
        <v>277</v>
      </c>
      <c r="B28" s="13">
        <v>2248222</v>
      </c>
      <c r="C28" s="13">
        <v>2892025.08</v>
      </c>
      <c r="D28" s="13">
        <v>2908259.8760000002</v>
      </c>
      <c r="E28" s="13">
        <v>1908704.92</v>
      </c>
      <c r="F28" s="13">
        <v>1069533.5350000001</v>
      </c>
      <c r="G28" s="13">
        <v>1291969</v>
      </c>
      <c r="H28" s="53">
        <v>891469</v>
      </c>
      <c r="I28" s="10"/>
    </row>
    <row r="29" spans="1:9" x14ac:dyDescent="0.3">
      <c r="A29" s="9" t="s">
        <v>287</v>
      </c>
      <c r="B29" s="13">
        <v>27368</v>
      </c>
      <c r="C29" s="13">
        <v>45212.98</v>
      </c>
      <c r="D29" s="13">
        <v>27881.486000000001</v>
      </c>
      <c r="E29" s="13">
        <v>52275.446999999993</v>
      </c>
      <c r="F29" s="13">
        <v>87848.09199999999</v>
      </c>
      <c r="G29" s="13">
        <v>79451.413</v>
      </c>
      <c r="H29" s="53">
        <v>52491</v>
      </c>
      <c r="I29" s="10"/>
    </row>
    <row r="30" spans="1:9" x14ac:dyDescent="0.3">
      <c r="A30" s="9" t="s">
        <v>293</v>
      </c>
      <c r="B30" s="13">
        <v>21451</v>
      </c>
      <c r="C30" s="13">
        <v>31565.863000000001</v>
      </c>
      <c r="D30" s="13">
        <v>119452.467</v>
      </c>
      <c r="E30" s="13">
        <v>44265.744999999995</v>
      </c>
      <c r="F30" s="13">
        <v>27533.723000999991</v>
      </c>
      <c r="G30" s="13">
        <v>22977</v>
      </c>
      <c r="H30" s="53">
        <v>47743</v>
      </c>
      <c r="I30" s="10"/>
    </row>
    <row r="31" spans="1:9" x14ac:dyDescent="0.3">
      <c r="A31" s="9" t="s">
        <v>286</v>
      </c>
      <c r="B31" s="13">
        <v>233991</v>
      </c>
      <c r="C31" s="13">
        <v>349891.64899999998</v>
      </c>
      <c r="D31" s="13">
        <v>187221.31</v>
      </c>
      <c r="E31" s="13">
        <v>292855.08</v>
      </c>
      <c r="F31" s="13">
        <v>0</v>
      </c>
      <c r="G31" s="13">
        <v>104072</v>
      </c>
      <c r="H31" s="53">
        <v>224454</v>
      </c>
      <c r="I31" s="10"/>
    </row>
    <row r="32" spans="1:9" x14ac:dyDescent="0.3">
      <c r="A32" s="9" t="s">
        <v>279</v>
      </c>
      <c r="B32" s="13">
        <v>351169.38500000001</v>
      </c>
      <c r="C32" s="13">
        <v>312813.00300000008</v>
      </c>
      <c r="D32" s="13">
        <v>506540.67899999989</v>
      </c>
      <c r="E32" s="13">
        <v>331155.95</v>
      </c>
      <c r="F32" s="13">
        <v>421597.89</v>
      </c>
      <c r="G32" s="13">
        <v>752088.23499999999</v>
      </c>
      <c r="H32" s="53">
        <v>648545</v>
      </c>
      <c r="I32" s="10"/>
    </row>
    <row r="33" spans="1:9" x14ac:dyDescent="0.3">
      <c r="A33" s="9" t="s">
        <v>274</v>
      </c>
      <c r="B33" s="13">
        <v>9609966</v>
      </c>
      <c r="C33" s="13">
        <v>10364558.031000005</v>
      </c>
      <c r="D33" s="13">
        <v>10303946.512000002</v>
      </c>
      <c r="E33" s="13">
        <v>11527996.703999994</v>
      </c>
      <c r="F33" s="13">
        <v>11593903.369000001</v>
      </c>
      <c r="G33" s="13">
        <v>16305797</v>
      </c>
      <c r="H33" s="53">
        <v>16650488</v>
      </c>
      <c r="I33" s="10"/>
    </row>
    <row r="34" spans="1:9" x14ac:dyDescent="0.3">
      <c r="A34" s="9" t="s">
        <v>288</v>
      </c>
      <c r="B34" s="13">
        <v>4772</v>
      </c>
      <c r="C34" s="13">
        <v>13229.984</v>
      </c>
      <c r="D34" s="13">
        <v>9655.1550000000007</v>
      </c>
      <c r="E34" s="13">
        <v>16677.52</v>
      </c>
      <c r="F34" s="13">
        <v>18168.846999999998</v>
      </c>
      <c r="G34" s="13">
        <v>34585.466</v>
      </c>
      <c r="H34" s="53">
        <v>32249</v>
      </c>
      <c r="I34" s="10"/>
    </row>
    <row r="35" spans="1:9" x14ac:dyDescent="0.3">
      <c r="A35" s="9" t="s">
        <v>284</v>
      </c>
      <c r="B35" s="13">
        <v>100803.18000000002</v>
      </c>
      <c r="C35" s="13">
        <v>132452.74000000008</v>
      </c>
      <c r="D35" s="13">
        <v>142119.64000000001</v>
      </c>
      <c r="E35" s="13">
        <v>120953.57</v>
      </c>
      <c r="F35" s="13">
        <v>182792.15</v>
      </c>
      <c r="G35" s="13">
        <v>226908</v>
      </c>
      <c r="H35" s="53">
        <v>188591</v>
      </c>
      <c r="I35" s="10"/>
    </row>
    <row r="36" spans="1:9" x14ac:dyDescent="0.3">
      <c r="A36" s="9" t="s">
        <v>292</v>
      </c>
      <c r="B36" s="13">
        <v>15450</v>
      </c>
      <c r="C36" s="13">
        <v>13352.823000000002</v>
      </c>
      <c r="D36" s="13">
        <v>5154.3050000000003</v>
      </c>
      <c r="E36" s="13">
        <v>3589.241</v>
      </c>
      <c r="F36" s="13">
        <v>11645.126</v>
      </c>
      <c r="G36" s="13">
        <v>26358.527999999998</v>
      </c>
      <c r="H36" s="53">
        <v>22695</v>
      </c>
      <c r="I36" s="10"/>
    </row>
    <row r="37" spans="1:9" x14ac:dyDescent="0.3">
      <c r="A37" s="9" t="s">
        <v>275</v>
      </c>
      <c r="B37" s="13">
        <v>0</v>
      </c>
      <c r="C37" s="13">
        <v>0</v>
      </c>
      <c r="D37" s="13">
        <v>0</v>
      </c>
      <c r="E37" s="13">
        <v>1134086.3999999999</v>
      </c>
      <c r="F37" s="13">
        <v>8889295</v>
      </c>
      <c r="G37" s="13">
        <v>10345925</v>
      </c>
      <c r="H37" s="53">
        <v>14842307</v>
      </c>
      <c r="I37" s="10"/>
    </row>
    <row r="38" spans="1:9" x14ac:dyDescent="0.3">
      <c r="A38" s="9" t="s">
        <v>294</v>
      </c>
      <c r="B38" s="13">
        <v>24513</v>
      </c>
      <c r="C38" s="13">
        <v>595.5</v>
      </c>
      <c r="D38" s="13">
        <v>338</v>
      </c>
      <c r="E38" s="13">
        <v>0</v>
      </c>
      <c r="F38" s="13">
        <v>0</v>
      </c>
      <c r="G38" s="13">
        <v>16335</v>
      </c>
      <c r="H38" s="53">
        <v>225</v>
      </c>
      <c r="I38" s="10"/>
    </row>
    <row r="39" spans="1:9" x14ac:dyDescent="0.3">
      <c r="A39" s="9" t="s">
        <v>276</v>
      </c>
      <c r="B39" s="13">
        <v>2659359</v>
      </c>
      <c r="C39" s="13">
        <v>5827833.5289999982</v>
      </c>
      <c r="D39" s="13">
        <v>5541327.7599999998</v>
      </c>
      <c r="E39" s="13">
        <v>4612926.96</v>
      </c>
      <c r="F39" s="13">
        <v>4374123.5172999995</v>
      </c>
      <c r="G39" s="13">
        <v>5343433</v>
      </c>
      <c r="H39" s="53">
        <v>7226791</v>
      </c>
      <c r="I39" s="10"/>
    </row>
    <row r="40" spans="1:9" x14ac:dyDescent="0.3">
      <c r="A40" s="9" t="s">
        <v>291</v>
      </c>
      <c r="B40" s="13">
        <v>0</v>
      </c>
      <c r="C40" s="13">
        <v>22114.012000000002</v>
      </c>
      <c r="D40" s="13">
        <v>21566.955000000002</v>
      </c>
      <c r="E40" s="13">
        <v>19185.215</v>
      </c>
      <c r="F40" s="13">
        <v>30389.064999999999</v>
      </c>
      <c r="G40" s="13">
        <v>30398.504000000001</v>
      </c>
      <c r="H40" s="53">
        <v>31678</v>
      </c>
      <c r="I40" s="10"/>
    </row>
    <row r="41" spans="1:9" x14ac:dyDescent="0.3">
      <c r="A41" s="9" t="s">
        <v>289</v>
      </c>
      <c r="B41" s="13">
        <v>10844</v>
      </c>
      <c r="C41" s="13">
        <v>42436</v>
      </c>
      <c r="D41" s="13">
        <v>16446.5</v>
      </c>
      <c r="E41" s="13">
        <v>315</v>
      </c>
      <c r="F41" s="13">
        <v>18165</v>
      </c>
      <c r="G41" s="13">
        <v>33948</v>
      </c>
      <c r="H41" s="53">
        <v>97711</v>
      </c>
      <c r="I41" s="10"/>
    </row>
    <row r="42" spans="1:9" x14ac:dyDescent="0.3">
      <c r="A42" s="9" t="s">
        <v>280</v>
      </c>
      <c r="B42" s="13">
        <v>329266</v>
      </c>
      <c r="C42" s="13">
        <v>425095</v>
      </c>
      <c r="D42" s="13">
        <v>477590.5</v>
      </c>
      <c r="E42" s="13">
        <v>700513.82</v>
      </c>
      <c r="F42" s="13">
        <v>986673.37</v>
      </c>
      <c r="G42" s="13">
        <v>735704.13</v>
      </c>
      <c r="H42" s="53">
        <v>1028314</v>
      </c>
      <c r="I42" s="10"/>
    </row>
    <row r="43" spans="1:9" x14ac:dyDescent="0.3">
      <c r="A43" s="9" t="s">
        <v>283</v>
      </c>
      <c r="B43" s="13">
        <v>203872</v>
      </c>
      <c r="C43" s="13">
        <v>266327.93700000003</v>
      </c>
      <c r="D43" s="13">
        <v>216657.92699999997</v>
      </c>
      <c r="E43" s="13">
        <v>283097.65999999997</v>
      </c>
      <c r="F43" s="13">
        <v>316876.95</v>
      </c>
      <c r="G43" s="13">
        <v>374611.27200000011</v>
      </c>
      <c r="H43" s="53">
        <v>326853</v>
      </c>
      <c r="I43" s="10"/>
    </row>
    <row r="44" spans="1:9" x14ac:dyDescent="0.3">
      <c r="A44" s="9" t="s">
        <v>290</v>
      </c>
      <c r="B44" s="13">
        <v>23096</v>
      </c>
      <c r="C44" s="13">
        <v>18002.725000000002</v>
      </c>
      <c r="D44" s="13">
        <v>13359.401</v>
      </c>
      <c r="E44" s="13">
        <v>19767.37</v>
      </c>
      <c r="F44" s="13">
        <v>28295.636000000006</v>
      </c>
      <c r="G44" s="13">
        <v>31558.955000000002</v>
      </c>
      <c r="H44" s="53">
        <v>32899</v>
      </c>
      <c r="I44" s="10"/>
    </row>
    <row r="45" spans="1:9" x14ac:dyDescent="0.3">
      <c r="A45" s="9" t="s">
        <v>285</v>
      </c>
      <c r="B45" s="13">
        <v>284755</v>
      </c>
      <c r="C45" s="13">
        <v>231923.98140000008</v>
      </c>
      <c r="D45" s="13">
        <v>97936.72024000001</v>
      </c>
      <c r="E45" s="13">
        <v>105392.341965</v>
      </c>
      <c r="F45" s="13">
        <v>126200.47125</v>
      </c>
      <c r="G45" s="13">
        <v>149202.31280000001</v>
      </c>
      <c r="H45" s="53">
        <v>245875</v>
      </c>
      <c r="I45" s="10"/>
    </row>
    <row r="46" spans="1:9" ht="14.4" thickBot="1" x14ac:dyDescent="0.35">
      <c r="A46" s="11" t="s">
        <v>281</v>
      </c>
      <c r="B46" s="14">
        <v>330687</v>
      </c>
      <c r="C46" s="15">
        <v>463079.45099999988</v>
      </c>
      <c r="D46" s="15">
        <v>321012.28419999999</v>
      </c>
      <c r="E46" s="15">
        <v>313025.44499999995</v>
      </c>
      <c r="F46" s="15">
        <v>481769.685</v>
      </c>
      <c r="G46" s="15">
        <v>390705</v>
      </c>
      <c r="H46" s="54">
        <v>297527</v>
      </c>
      <c r="I46" s="10"/>
    </row>
    <row r="47" spans="1:9" x14ac:dyDescent="0.3">
      <c r="A47" s="12"/>
      <c r="B47" s="10"/>
      <c r="C47" s="10"/>
      <c r="D47" s="10"/>
      <c r="E47" s="10"/>
      <c r="F47" s="10"/>
      <c r="G47" s="10"/>
      <c r="H47" s="10"/>
      <c r="I47" s="10"/>
    </row>
    <row r="48" spans="1:9" ht="15" customHeight="1" x14ac:dyDescent="0.3">
      <c r="A48" s="77" t="s">
        <v>401</v>
      </c>
      <c r="B48" s="77"/>
      <c r="C48" s="77"/>
      <c r="D48" s="77"/>
      <c r="E48" s="77"/>
      <c r="F48" s="77"/>
    </row>
    <row r="49" spans="1:12" ht="14.4" thickBot="1" x14ac:dyDescent="0.35">
      <c r="A49" s="77"/>
      <c r="B49" s="77"/>
      <c r="C49" s="77"/>
      <c r="D49" s="77"/>
      <c r="E49" s="77"/>
      <c r="F49" s="77"/>
    </row>
    <row r="50" spans="1:12" x14ac:dyDescent="0.3">
      <c r="A50" s="99" t="s">
        <v>9</v>
      </c>
      <c r="B50" s="86" t="s">
        <v>4</v>
      </c>
      <c r="C50" s="84" t="s">
        <v>3</v>
      </c>
      <c r="D50" s="95" t="s">
        <v>1</v>
      </c>
      <c r="E50" s="95" t="s">
        <v>2</v>
      </c>
      <c r="F50" s="84" t="s">
        <v>5</v>
      </c>
      <c r="G50" s="88" t="s">
        <v>6</v>
      </c>
    </row>
    <row r="51" spans="1:12" ht="14.4" thickBot="1" x14ac:dyDescent="0.35">
      <c r="A51" s="100"/>
      <c r="B51" s="94"/>
      <c r="C51" s="85"/>
      <c r="D51" s="96"/>
      <c r="E51" s="96"/>
      <c r="F51" s="85"/>
      <c r="G51" s="89"/>
      <c r="L51" s="16"/>
    </row>
    <row r="52" spans="1:12" x14ac:dyDescent="0.3">
      <c r="A52" s="17" t="s">
        <v>14</v>
      </c>
      <c r="B52" s="1">
        <v>1276249.2028349999</v>
      </c>
      <c r="C52" s="18"/>
      <c r="D52" s="1">
        <f>1000*5915.54326533848</f>
        <v>5915543.2653384795</v>
      </c>
      <c r="E52" s="1">
        <f>E15</f>
        <v>126117503.96513599</v>
      </c>
      <c r="F52" s="1">
        <v>302459.11291000003</v>
      </c>
      <c r="G52" s="55">
        <f>G15</f>
        <v>4418768.325600001</v>
      </c>
      <c r="H52" s="19"/>
    </row>
    <row r="53" spans="1:12" x14ac:dyDescent="0.3">
      <c r="A53" s="56" t="s">
        <v>11</v>
      </c>
      <c r="B53" s="20">
        <v>1274188.9059019997</v>
      </c>
      <c r="C53" s="19"/>
      <c r="D53" s="20">
        <f>1000*5164.3116455518</f>
        <v>5164311.6455517998</v>
      </c>
      <c r="E53" s="20">
        <v>121914106</v>
      </c>
      <c r="F53" s="20">
        <v>298969.097465</v>
      </c>
      <c r="G53" s="57">
        <f>G52</f>
        <v>4418768.325600001</v>
      </c>
      <c r="H53" s="19"/>
    </row>
    <row r="54" spans="1:12" x14ac:dyDescent="0.3">
      <c r="A54" s="56" t="s">
        <v>12</v>
      </c>
      <c r="B54" s="20">
        <v>2018.3723850000001</v>
      </c>
      <c r="C54" s="19"/>
      <c r="D54" s="20">
        <f>1000*196.808485065748</f>
        <v>196808.48506574798</v>
      </c>
      <c r="E54" s="20">
        <v>4203386</v>
      </c>
      <c r="F54" s="20">
        <v>3490.0154450000005</v>
      </c>
      <c r="G54" s="58" t="s">
        <v>10</v>
      </c>
      <c r="H54" s="19"/>
    </row>
    <row r="55" spans="1:12" x14ac:dyDescent="0.3">
      <c r="A55" s="56" t="s">
        <v>13</v>
      </c>
      <c r="B55" s="20">
        <v>41.924548000000001</v>
      </c>
      <c r="C55" s="19"/>
      <c r="D55" s="20">
        <f>1000*0.957985304852171</f>
        <v>957.985304852171</v>
      </c>
      <c r="E55" s="20">
        <v>317</v>
      </c>
      <c r="F55" s="59">
        <v>1</v>
      </c>
      <c r="G55" s="58" t="s">
        <v>10</v>
      </c>
      <c r="H55" s="19"/>
    </row>
    <row r="56" spans="1:12" x14ac:dyDescent="0.3">
      <c r="A56" s="17" t="s">
        <v>15</v>
      </c>
      <c r="B56" s="1">
        <v>1247184.0293920001</v>
      </c>
      <c r="C56" s="18"/>
      <c r="D56" s="1">
        <f>1000*5275.41470766178</f>
        <v>5275414.7076617805</v>
      </c>
      <c r="E56" s="1">
        <f>E16</f>
        <v>117043218.92481899</v>
      </c>
      <c r="F56" s="1">
        <v>261989.60579400003</v>
      </c>
      <c r="G56" s="55">
        <f>G16</f>
        <v>6042644.2223000005</v>
      </c>
      <c r="H56" s="19"/>
    </row>
    <row r="57" spans="1:12" x14ac:dyDescent="0.3">
      <c r="A57" s="56" t="s">
        <v>11</v>
      </c>
      <c r="B57" s="20">
        <v>1244013.7186439999</v>
      </c>
      <c r="C57" s="19"/>
      <c r="D57" s="20">
        <f>1000*4495.38862319892</f>
        <v>4495388.6231989199</v>
      </c>
      <c r="E57" s="20">
        <v>114498646</v>
      </c>
      <c r="F57" s="20">
        <v>256099.68667800003</v>
      </c>
      <c r="G57" s="57">
        <f>G56</f>
        <v>6042644.2223000005</v>
      </c>
      <c r="H57" s="19"/>
    </row>
    <row r="58" spans="1:12" x14ac:dyDescent="0.3">
      <c r="A58" s="56" t="s">
        <v>12</v>
      </c>
      <c r="B58" s="20">
        <v>3095.359168</v>
      </c>
      <c r="C58" s="19"/>
      <c r="D58" s="20">
        <f>1000*168.349817590118</f>
        <v>168349.81759011801</v>
      </c>
      <c r="E58" s="20">
        <v>2544347</v>
      </c>
      <c r="F58" s="20">
        <v>5889.919116</v>
      </c>
      <c r="G58" s="58" t="s">
        <v>10</v>
      </c>
      <c r="H58" s="19"/>
    </row>
    <row r="59" spans="1:12" x14ac:dyDescent="0.3">
      <c r="A59" s="56" t="s">
        <v>13</v>
      </c>
      <c r="B59" s="20">
        <v>74.951579999999993</v>
      </c>
      <c r="C59" s="19"/>
      <c r="D59" s="20">
        <f>1000*1.61794637791124</f>
        <v>1617.94637791124</v>
      </c>
      <c r="E59" s="20">
        <v>549</v>
      </c>
      <c r="F59" s="20" t="s">
        <v>10</v>
      </c>
      <c r="G59" s="58" t="s">
        <v>10</v>
      </c>
      <c r="H59" s="19"/>
    </row>
    <row r="60" spans="1:12" x14ac:dyDescent="0.3">
      <c r="A60" s="17" t="s">
        <v>16</v>
      </c>
      <c r="B60" s="1">
        <v>1235345.0680180006</v>
      </c>
      <c r="C60" s="18"/>
      <c r="D60" s="1">
        <f>1000*5343.00585725296</f>
        <v>5343005.8572529601</v>
      </c>
      <c r="E60" s="1">
        <f>E17</f>
        <v>109918810.27859999</v>
      </c>
      <c r="F60" s="1">
        <v>230199.08238500002</v>
      </c>
      <c r="G60" s="55">
        <f>G17</f>
        <v>7010937.8915999997</v>
      </c>
      <c r="H60" s="19"/>
    </row>
    <row r="61" spans="1:12" x14ac:dyDescent="0.3">
      <c r="A61" s="56" t="s">
        <v>11</v>
      </c>
      <c r="B61" s="20">
        <v>1231765.4973250006</v>
      </c>
      <c r="C61" s="19"/>
      <c r="D61" s="20">
        <f>1000*4408.27793358007</f>
        <v>4408277.9335800698</v>
      </c>
      <c r="E61" s="20">
        <f>32150.6192209262*3339.364594111</f>
        <v>107362639.50510554</v>
      </c>
      <c r="F61" s="20">
        <v>224926.25903800002</v>
      </c>
      <c r="G61" s="57">
        <f>G60</f>
        <v>7010937.8915999997</v>
      </c>
      <c r="H61" s="19"/>
    </row>
    <row r="62" spans="1:12" x14ac:dyDescent="0.3">
      <c r="A62" s="56" t="s">
        <v>12</v>
      </c>
      <c r="B62" s="20">
        <v>3579.5706929999997</v>
      </c>
      <c r="C62" s="19"/>
      <c r="D62" s="20">
        <f>1000*210.347001869816</f>
        <v>210347.00186981601</v>
      </c>
      <c r="E62" s="20">
        <f>32150.6192209262*79.497523311</f>
        <v>2555894.6009786651</v>
      </c>
      <c r="F62" s="20">
        <v>5272.8233469999996</v>
      </c>
      <c r="G62" s="58" t="s">
        <v>10</v>
      </c>
      <c r="H62" s="19"/>
    </row>
    <row r="63" spans="1:12" x14ac:dyDescent="0.3">
      <c r="A63" s="56" t="s">
        <v>13</v>
      </c>
      <c r="B63" s="20" t="s">
        <v>10</v>
      </c>
      <c r="C63" s="19"/>
      <c r="D63" s="20">
        <f>1000*1.29768660772386</f>
        <v>1297.6866077238601</v>
      </c>
      <c r="E63" s="20" t="s">
        <v>10</v>
      </c>
      <c r="F63" s="20" t="s">
        <v>10</v>
      </c>
      <c r="G63" s="58" t="s">
        <v>10</v>
      </c>
      <c r="H63" s="19"/>
    </row>
    <row r="64" spans="1:12" x14ac:dyDescent="0.3">
      <c r="A64" s="17" t="s">
        <v>17</v>
      </c>
      <c r="B64" s="1">
        <v>1298563.8286839998</v>
      </c>
      <c r="C64" s="18"/>
      <c r="D64" s="1">
        <f>1000*5193.67325449761</f>
        <v>5193673.25449761</v>
      </c>
      <c r="E64" s="1">
        <f>E18</f>
        <v>111911986.321474</v>
      </c>
      <c r="F64" s="1">
        <v>249236.15747599999</v>
      </c>
      <c r="G64" s="55">
        <f>G18</f>
        <v>6684539.3917999994</v>
      </c>
      <c r="H64" s="19"/>
    </row>
    <row r="65" spans="1:8" x14ac:dyDescent="0.3">
      <c r="A65" s="56" t="s">
        <v>11</v>
      </c>
      <c r="B65" s="20">
        <v>1295687.7398959999</v>
      </c>
      <c r="C65" s="19"/>
      <c r="D65" s="20">
        <f>1000*4567</f>
        <v>4567000</v>
      </c>
      <c r="E65" s="20">
        <f>32150.6192209262*3405.386801194</f>
        <v>109485294.34515621</v>
      </c>
      <c r="F65" s="20">
        <v>244532.94784899999</v>
      </c>
      <c r="G65" s="57">
        <f>G64</f>
        <v>6684539.3917999994</v>
      </c>
      <c r="H65" s="19"/>
    </row>
    <row r="66" spans="1:8" x14ac:dyDescent="0.3">
      <c r="A66" s="56" t="s">
        <v>12</v>
      </c>
      <c r="B66" s="20">
        <v>2876.0887879999996</v>
      </c>
      <c r="C66" s="38"/>
      <c r="D66" s="20">
        <f>1000*259</f>
        <v>259000</v>
      </c>
      <c r="E66" s="20">
        <f>32150.6192209262*75.470110832</f>
        <v>2426410.7959207301</v>
      </c>
      <c r="F66" s="20">
        <v>4703.2096270000011</v>
      </c>
      <c r="G66" s="58" t="s">
        <v>10</v>
      </c>
    </row>
    <row r="67" spans="1:8" x14ac:dyDescent="0.3">
      <c r="A67" s="56" t="s">
        <v>13</v>
      </c>
      <c r="B67" s="20" t="s">
        <v>10</v>
      </c>
      <c r="C67" s="38"/>
      <c r="D67" s="20">
        <f>1000*0.761170876297277</f>
        <v>761.170876297277</v>
      </c>
      <c r="E67" s="20" t="s">
        <v>10</v>
      </c>
      <c r="F67" s="20" t="s">
        <v>10</v>
      </c>
      <c r="G67" s="58" t="s">
        <v>10</v>
      </c>
    </row>
    <row r="68" spans="1:8" x14ac:dyDescent="0.3">
      <c r="A68" s="17" t="s">
        <v>18</v>
      </c>
      <c r="B68" s="1">
        <v>1375641</v>
      </c>
      <c r="C68" s="60"/>
      <c r="D68" s="1">
        <f>1000*4870</f>
        <v>4870000</v>
      </c>
      <c r="E68" s="1">
        <f>E19</f>
        <v>118130754.721231</v>
      </c>
      <c r="F68" s="1">
        <v>266472.33039299992</v>
      </c>
      <c r="G68" s="61">
        <f>G19</f>
        <v>6680658.79</v>
      </c>
    </row>
    <row r="69" spans="1:8" x14ac:dyDescent="0.3">
      <c r="A69" s="56" t="s">
        <v>11</v>
      </c>
      <c r="B69" s="20">
        <v>1371814</v>
      </c>
      <c r="C69" s="38"/>
      <c r="D69" s="20">
        <f>1000*4112</f>
        <v>4112000</v>
      </c>
      <c r="E69" s="20">
        <f>32150.6192209262*3577.897866577</f>
        <v>115031631.91968134</v>
      </c>
      <c r="F69" s="20">
        <v>260979.02535899993</v>
      </c>
      <c r="G69" s="62">
        <f>G68</f>
        <v>6680658.79</v>
      </c>
    </row>
    <row r="70" spans="1:8" x14ac:dyDescent="0.3">
      <c r="A70" s="56" t="s">
        <v>12</v>
      </c>
      <c r="B70" s="20">
        <v>3827</v>
      </c>
      <c r="C70" s="38"/>
      <c r="D70" s="20">
        <f>1000*263</f>
        <v>263000</v>
      </c>
      <c r="E70" s="20">
        <f>32150.6192209262*96.384644262</f>
        <v>3098825.9964119913</v>
      </c>
      <c r="F70" s="20">
        <v>5493.3050339999991</v>
      </c>
      <c r="G70" s="58" t="s">
        <v>10</v>
      </c>
    </row>
    <row r="71" spans="1:8" ht="14.4" thickBot="1" x14ac:dyDescent="0.35">
      <c r="A71" s="63" t="s">
        <v>13</v>
      </c>
      <c r="B71" s="22" t="s">
        <v>10</v>
      </c>
      <c r="C71" s="23"/>
      <c r="D71" s="22" t="s">
        <v>10</v>
      </c>
      <c r="E71" s="22" t="s">
        <v>10</v>
      </c>
      <c r="F71" s="22" t="s">
        <v>10</v>
      </c>
      <c r="G71" s="64" t="s">
        <v>10</v>
      </c>
    </row>
    <row r="73" spans="1:8" x14ac:dyDescent="0.3">
      <c r="A73" s="77" t="s">
        <v>402</v>
      </c>
      <c r="B73" s="77"/>
      <c r="C73" s="77"/>
      <c r="D73" s="77"/>
      <c r="E73" s="77"/>
      <c r="F73" s="77"/>
    </row>
    <row r="74" spans="1:8" x14ac:dyDescent="0.3">
      <c r="A74" s="77"/>
      <c r="B74" s="77"/>
      <c r="C74" s="77"/>
      <c r="D74" s="77"/>
      <c r="E74" s="77"/>
      <c r="F74" s="77"/>
    </row>
    <row r="75" spans="1:8" ht="14.4" thickBot="1" x14ac:dyDescent="0.35"/>
    <row r="76" spans="1:8" ht="15" customHeight="1" x14ac:dyDescent="0.3">
      <c r="A76" s="90" t="s">
        <v>20</v>
      </c>
      <c r="B76" s="80">
        <v>2007</v>
      </c>
      <c r="C76" s="80">
        <v>2008</v>
      </c>
      <c r="D76" s="80">
        <v>2009</v>
      </c>
      <c r="E76" s="80">
        <v>2010</v>
      </c>
      <c r="F76" s="80">
        <v>2011</v>
      </c>
      <c r="G76" s="80">
        <v>2012</v>
      </c>
      <c r="H76" s="82">
        <v>2013</v>
      </c>
    </row>
    <row r="77" spans="1:8" ht="14.4" thickBot="1" x14ac:dyDescent="0.35">
      <c r="A77" s="91"/>
      <c r="B77" s="81"/>
      <c r="C77" s="81"/>
      <c r="D77" s="81"/>
      <c r="E77" s="81"/>
      <c r="F77" s="81"/>
      <c r="G77" s="81"/>
      <c r="H77" s="83"/>
    </row>
    <row r="78" spans="1:8" x14ac:dyDescent="0.3">
      <c r="A78" s="24" t="s">
        <v>49</v>
      </c>
      <c r="B78" s="1">
        <v>1190273.6039159994</v>
      </c>
      <c r="C78" s="1">
        <v>1267866.5800789997</v>
      </c>
      <c r="D78" s="1">
        <v>1276249.2028349997</v>
      </c>
      <c r="E78" s="1">
        <v>1247184.0293920005</v>
      </c>
      <c r="F78" s="1">
        <v>1235345.0680179994</v>
      </c>
      <c r="G78" s="1">
        <v>1298761</v>
      </c>
      <c r="H78" s="65">
        <v>1375641</v>
      </c>
    </row>
    <row r="79" spans="1:8" x14ac:dyDescent="0.3">
      <c r="A79" s="24" t="s">
        <v>21</v>
      </c>
      <c r="B79" s="20">
        <v>341324.01130000001</v>
      </c>
      <c r="C79" s="20">
        <v>358179.30290000001</v>
      </c>
      <c r="D79" s="20">
        <v>344444.69769999996</v>
      </c>
      <c r="E79" s="20">
        <v>325043.20130000002</v>
      </c>
      <c r="F79" s="20">
        <v>347059.1974</v>
      </c>
      <c r="G79" s="20">
        <v>462832</v>
      </c>
      <c r="H79" s="58">
        <v>461058</v>
      </c>
    </row>
    <row r="80" spans="1:8" x14ac:dyDescent="0.3">
      <c r="A80" s="24" t="s">
        <v>22</v>
      </c>
      <c r="B80" s="20">
        <v>359661.16500599997</v>
      </c>
      <c r="C80" s="20">
        <v>349077.39400200004</v>
      </c>
      <c r="D80" s="20">
        <v>354039.03835399996</v>
      </c>
      <c r="E80" s="20">
        <v>334437.06645499996</v>
      </c>
      <c r="F80" s="20">
        <v>295841.53940199991</v>
      </c>
      <c r="G80" s="20">
        <v>311111</v>
      </c>
      <c r="H80" s="58">
        <v>307680</v>
      </c>
    </row>
    <row r="81" spans="1:8" x14ac:dyDescent="0.3">
      <c r="A81" s="24" t="s">
        <v>23</v>
      </c>
      <c r="B81" s="20">
        <v>273959.74174899998</v>
      </c>
      <c r="C81" s="20">
        <v>324172.46453300002</v>
      </c>
      <c r="D81" s="20">
        <v>308369.91439799999</v>
      </c>
      <c r="E81" s="20">
        <v>312336.01296299999</v>
      </c>
      <c r="F81" s="20">
        <v>302904.68889599998</v>
      </c>
      <c r="G81" s="20">
        <v>278812</v>
      </c>
      <c r="H81" s="58">
        <v>261348</v>
      </c>
    </row>
    <row r="82" spans="1:8" x14ac:dyDescent="0.3">
      <c r="A82" s="24" t="s">
        <v>24</v>
      </c>
      <c r="B82" s="20">
        <v>119540.07797500002</v>
      </c>
      <c r="C82" s="20">
        <v>110769.29227999998</v>
      </c>
      <c r="D82" s="20">
        <v>107232.511169</v>
      </c>
      <c r="E82" s="20">
        <v>93015.124211000002</v>
      </c>
      <c r="F82" s="20">
        <v>95262.400116000004</v>
      </c>
      <c r="G82" s="20">
        <v>51187</v>
      </c>
      <c r="H82" s="58">
        <v>151187</v>
      </c>
    </row>
    <row r="83" spans="1:8" x14ac:dyDescent="0.3">
      <c r="A83" s="24" t="s">
        <v>25</v>
      </c>
      <c r="B83" s="20">
        <v>5182.9928559999998</v>
      </c>
      <c r="C83" s="20">
        <v>11812.235504999999</v>
      </c>
      <c r="D83" s="20">
        <v>18913.426888999998</v>
      </c>
      <c r="E83" s="20">
        <v>22325.189011999999</v>
      </c>
      <c r="F83" s="20">
        <v>26957.512781999998</v>
      </c>
      <c r="G83" s="20">
        <v>33968</v>
      </c>
      <c r="H83" s="58">
        <v>39464</v>
      </c>
    </row>
    <row r="84" spans="1:8" x14ac:dyDescent="0.3">
      <c r="A84" s="24" t="s">
        <v>26</v>
      </c>
      <c r="B84" s="20" t="s">
        <v>10</v>
      </c>
      <c r="C84" s="20">
        <v>7674.5385660000002</v>
      </c>
      <c r="D84" s="20">
        <v>38643.612430000001</v>
      </c>
      <c r="E84" s="20">
        <v>43657.058120000002</v>
      </c>
      <c r="F84" s="20">
        <v>40244.730309999999</v>
      </c>
      <c r="G84" s="20">
        <v>37643</v>
      </c>
      <c r="H84" s="58">
        <v>31443</v>
      </c>
    </row>
    <row r="85" spans="1:8" x14ac:dyDescent="0.3">
      <c r="A85" s="24" t="s">
        <v>27</v>
      </c>
      <c r="B85" s="20">
        <v>3385.0346</v>
      </c>
      <c r="C85" s="20">
        <v>8984.7231000000011</v>
      </c>
      <c r="D85" s="20">
        <v>9919.1681000000008</v>
      </c>
      <c r="E85" s="20">
        <v>18284.184700000002</v>
      </c>
      <c r="F85" s="20">
        <v>24346.664199999999</v>
      </c>
      <c r="G85" s="20">
        <v>24000</v>
      </c>
      <c r="H85" s="58">
        <v>27895</v>
      </c>
    </row>
    <row r="86" spans="1:8" x14ac:dyDescent="0.3">
      <c r="A86" s="24" t="s">
        <v>28</v>
      </c>
      <c r="B86" s="20">
        <v>18771.902087999999</v>
      </c>
      <c r="C86" s="20">
        <v>20684.880465999995</v>
      </c>
      <c r="D86" s="20">
        <v>18443.211391000001</v>
      </c>
      <c r="E86" s="20">
        <v>19667.632038000003</v>
      </c>
      <c r="F86" s="20">
        <v>20313.315420999999</v>
      </c>
      <c r="G86" s="20">
        <v>20258</v>
      </c>
      <c r="H86" s="58">
        <v>19578</v>
      </c>
    </row>
    <row r="87" spans="1:8" x14ac:dyDescent="0.3">
      <c r="A87" s="24" t="s">
        <v>29</v>
      </c>
      <c r="B87" s="20">
        <v>18062.843158000003</v>
      </c>
      <c r="C87" s="20">
        <v>24687.167680000002</v>
      </c>
      <c r="D87" s="20">
        <v>24041.799610000002</v>
      </c>
      <c r="E87" s="20">
        <v>23154.080000000002</v>
      </c>
      <c r="F87" s="20">
        <v>22576.134152999999</v>
      </c>
      <c r="G87" s="20">
        <v>20887</v>
      </c>
      <c r="H87" s="58">
        <v>18431</v>
      </c>
    </row>
    <row r="88" spans="1:8" x14ac:dyDescent="0.3">
      <c r="A88" s="24" t="s">
        <v>47</v>
      </c>
      <c r="B88" s="20">
        <v>5239.6414010000008</v>
      </c>
      <c r="C88" s="20">
        <v>5497.2554490000002</v>
      </c>
      <c r="D88" s="20">
        <v>3138.4376499999998</v>
      </c>
      <c r="E88" s="20">
        <v>3736.9485290000002</v>
      </c>
      <c r="F88" s="20">
        <v>4790.8270000000002</v>
      </c>
      <c r="G88" s="20">
        <v>5447</v>
      </c>
      <c r="H88" s="58">
        <v>6513</v>
      </c>
    </row>
    <row r="89" spans="1:8" x14ac:dyDescent="0.3">
      <c r="A89" s="24" t="s">
        <v>31</v>
      </c>
      <c r="B89" s="20">
        <v>2175.3982999999998</v>
      </c>
      <c r="C89" s="20">
        <v>3041.592521</v>
      </c>
      <c r="D89" s="20">
        <v>4812.2042730000003</v>
      </c>
      <c r="E89" s="20">
        <v>6022.5152410000001</v>
      </c>
      <c r="F89" s="20">
        <v>4701.9952889999995</v>
      </c>
      <c r="G89" s="20">
        <v>4373</v>
      </c>
      <c r="H89" s="58">
        <v>4970</v>
      </c>
    </row>
    <row r="90" spans="1:8" x14ac:dyDescent="0.3">
      <c r="A90" s="24" t="s">
        <v>48</v>
      </c>
      <c r="B90" s="20" t="s">
        <v>10</v>
      </c>
      <c r="C90" s="20" t="s">
        <v>10</v>
      </c>
      <c r="D90" s="20" t="s">
        <v>10</v>
      </c>
      <c r="E90" s="20" t="s">
        <v>10</v>
      </c>
      <c r="F90" s="20" t="s">
        <v>10</v>
      </c>
      <c r="G90" s="20">
        <v>2540</v>
      </c>
      <c r="H90" s="58">
        <v>4118</v>
      </c>
    </row>
    <row r="91" spans="1:8" x14ac:dyDescent="0.3">
      <c r="A91" s="24" t="s">
        <v>32</v>
      </c>
      <c r="B91" s="20">
        <v>5330.4026040000008</v>
      </c>
      <c r="C91" s="20">
        <v>5455.7747760000002</v>
      </c>
      <c r="D91" s="20">
        <v>6524.4869950000002</v>
      </c>
      <c r="E91" s="20">
        <v>6412.7878859999992</v>
      </c>
      <c r="F91" s="20">
        <v>6935.2976130000006</v>
      </c>
      <c r="G91" s="20">
        <v>5034</v>
      </c>
      <c r="H91" s="58">
        <v>3906</v>
      </c>
    </row>
    <row r="92" spans="1:8" x14ac:dyDescent="0.3">
      <c r="A92" s="24" t="s">
        <v>33</v>
      </c>
      <c r="B92" s="20">
        <v>3434.3309580000005</v>
      </c>
      <c r="C92" s="20">
        <v>2901.8035310000005</v>
      </c>
      <c r="D92" s="20">
        <v>2917.2226299999998</v>
      </c>
      <c r="E92" s="20">
        <v>3574.1471799999999</v>
      </c>
      <c r="F92" s="20">
        <v>3727.4772100000005</v>
      </c>
      <c r="G92" s="20">
        <v>3955</v>
      </c>
      <c r="H92" s="58">
        <v>3332</v>
      </c>
    </row>
    <row r="93" spans="1:8" x14ac:dyDescent="0.3">
      <c r="A93" s="24" t="s">
        <v>34</v>
      </c>
      <c r="B93" s="20">
        <v>3012.7139969999998</v>
      </c>
      <c r="C93" s="20">
        <v>2928.8824040000009</v>
      </c>
      <c r="D93" s="20">
        <v>2926.6905780000006</v>
      </c>
      <c r="E93" s="20">
        <v>2272.1650870000003</v>
      </c>
      <c r="F93" s="20">
        <v>2103.1950820000002</v>
      </c>
      <c r="G93" s="20">
        <v>2228</v>
      </c>
      <c r="H93" s="58">
        <v>2835</v>
      </c>
    </row>
    <row r="94" spans="1:8" x14ac:dyDescent="0.3">
      <c r="A94" s="24" t="s">
        <v>35</v>
      </c>
      <c r="B94" s="20">
        <v>2242.8601619999999</v>
      </c>
      <c r="C94" s="20">
        <v>2304.1886499999996</v>
      </c>
      <c r="D94" s="20">
        <v>2175.6922330000002</v>
      </c>
      <c r="E94" s="20">
        <v>2276.5294579999995</v>
      </c>
      <c r="F94" s="20">
        <v>2050.0552699999998</v>
      </c>
      <c r="G94" s="20">
        <v>2350</v>
      </c>
      <c r="H94" s="58">
        <v>2734</v>
      </c>
    </row>
    <row r="95" spans="1:8" x14ac:dyDescent="0.3">
      <c r="A95" s="24" t="s">
        <v>36</v>
      </c>
      <c r="B95" s="20">
        <v>3917.4600369999994</v>
      </c>
      <c r="C95" s="20">
        <v>2836.274539</v>
      </c>
      <c r="D95" s="20">
        <v>2866.3371360000001</v>
      </c>
      <c r="E95" s="20">
        <v>2908.2581759999998</v>
      </c>
      <c r="F95" s="20">
        <v>3181.2602969999998</v>
      </c>
      <c r="G95" s="20">
        <v>2394</v>
      </c>
      <c r="H95" s="58">
        <v>2701</v>
      </c>
    </row>
    <row r="96" spans="1:8" x14ac:dyDescent="0.3">
      <c r="A96" s="24" t="s">
        <v>37</v>
      </c>
      <c r="B96" s="20">
        <v>2210.7213970000003</v>
      </c>
      <c r="C96" s="20">
        <v>2692.9116200000003</v>
      </c>
      <c r="D96" s="20">
        <v>2940.516271</v>
      </c>
      <c r="E96" s="20">
        <v>3599.4915649999998</v>
      </c>
      <c r="F96" s="20">
        <v>3212.8809469999997</v>
      </c>
      <c r="G96" s="20">
        <v>2706</v>
      </c>
      <c r="H96" s="58">
        <v>2412</v>
      </c>
    </row>
    <row r="97" spans="1:8" x14ac:dyDescent="0.3">
      <c r="A97" s="24" t="s">
        <v>38</v>
      </c>
      <c r="B97" s="20">
        <v>1292.634004</v>
      </c>
      <c r="C97" s="20">
        <v>996.89300399999991</v>
      </c>
      <c r="D97" s="20">
        <v>1026.8401039999999</v>
      </c>
      <c r="E97" s="20">
        <v>1298.4381400000002</v>
      </c>
      <c r="F97" s="20">
        <v>2050.1637730000002</v>
      </c>
      <c r="G97" s="20">
        <v>2003</v>
      </c>
      <c r="H97" s="58">
        <v>2312</v>
      </c>
    </row>
    <row r="98" spans="1:8" x14ac:dyDescent="0.3">
      <c r="A98" s="24" t="s">
        <v>39</v>
      </c>
      <c r="B98" s="20">
        <v>4486.5777749999997</v>
      </c>
      <c r="C98" s="20">
        <v>4957.2855739999995</v>
      </c>
      <c r="D98" s="20">
        <v>4949.7021870000008</v>
      </c>
      <c r="E98" s="20">
        <v>3811.8656470000001</v>
      </c>
      <c r="F98" s="20">
        <v>3113.4334569999996</v>
      </c>
      <c r="G98" s="20">
        <v>1434</v>
      </c>
      <c r="H98" s="58">
        <v>1817</v>
      </c>
    </row>
    <row r="99" spans="1:8" x14ac:dyDescent="0.3">
      <c r="A99" s="24" t="s">
        <v>40</v>
      </c>
      <c r="B99" s="20">
        <v>7061.6116090000005</v>
      </c>
      <c r="C99" s="20">
        <v>5660.4270919999999</v>
      </c>
      <c r="D99" s="20">
        <v>5693.8215609999988</v>
      </c>
      <c r="E99" s="20">
        <v>6548.5650779999996</v>
      </c>
      <c r="F99" s="20">
        <v>8472.4672010000013</v>
      </c>
      <c r="G99" s="20">
        <v>5919</v>
      </c>
      <c r="H99" s="58">
        <v>1271</v>
      </c>
    </row>
    <row r="100" spans="1:8" x14ac:dyDescent="0.3">
      <c r="A100" s="24" t="s">
        <v>41</v>
      </c>
      <c r="B100" s="20">
        <v>1824.2975650000001</v>
      </c>
      <c r="C100" s="20">
        <v>2124.341363</v>
      </c>
      <c r="D100" s="20">
        <v>1562.4682350000003</v>
      </c>
      <c r="E100" s="20">
        <v>1166.102946</v>
      </c>
      <c r="F100" s="20">
        <v>1148.3271110000001</v>
      </c>
      <c r="G100" s="20">
        <v>930</v>
      </c>
      <c r="H100" s="58">
        <v>865</v>
      </c>
    </row>
    <row r="101" spans="1:8" x14ac:dyDescent="0.3">
      <c r="A101" s="24" t="s">
        <v>42</v>
      </c>
      <c r="B101" s="20">
        <v>270.66547300000002</v>
      </c>
      <c r="C101" s="20">
        <v>168.159514</v>
      </c>
      <c r="D101" s="20">
        <v>176.30539099999999</v>
      </c>
      <c r="E101" s="20">
        <v>302.09774699999997</v>
      </c>
      <c r="F101" s="20">
        <v>393.241488</v>
      </c>
      <c r="G101" s="20">
        <v>384</v>
      </c>
      <c r="H101" s="58">
        <v>379</v>
      </c>
    </row>
    <row r="102" spans="1:8" x14ac:dyDescent="0.3">
      <c r="A102" s="24" t="s">
        <v>43</v>
      </c>
      <c r="B102" s="20">
        <v>1830.4414080000001</v>
      </c>
      <c r="C102" s="20">
        <v>2299.2437770000001</v>
      </c>
      <c r="D102" s="20">
        <v>445.33455600000002</v>
      </c>
      <c r="E102" s="20" t="s">
        <v>10</v>
      </c>
      <c r="F102" s="20" t="s">
        <v>10</v>
      </c>
      <c r="G102" s="20" t="s">
        <v>10</v>
      </c>
      <c r="H102" s="58" t="s">
        <v>10</v>
      </c>
    </row>
    <row r="103" spans="1:8" x14ac:dyDescent="0.3">
      <c r="A103" s="24" t="s">
        <v>44</v>
      </c>
      <c r="B103" s="20">
        <v>2051.5079000000001</v>
      </c>
      <c r="C103" s="20">
        <v>1541.5492000000002</v>
      </c>
      <c r="D103" s="20" t="s">
        <v>10</v>
      </c>
      <c r="E103" s="20" t="s">
        <v>10</v>
      </c>
      <c r="F103" s="20" t="s">
        <v>10</v>
      </c>
      <c r="G103" s="20" t="s">
        <v>10</v>
      </c>
      <c r="H103" s="58" t="s">
        <v>10</v>
      </c>
    </row>
    <row r="104" spans="1:8" x14ac:dyDescent="0.3">
      <c r="A104" s="24" t="s">
        <v>45</v>
      </c>
      <c r="B104" s="20" t="s">
        <v>10</v>
      </c>
      <c r="C104" s="20" t="s">
        <v>10</v>
      </c>
      <c r="D104" s="20" t="s">
        <v>10</v>
      </c>
      <c r="E104" s="20" t="s">
        <v>10</v>
      </c>
      <c r="F104" s="20" t="s">
        <v>10</v>
      </c>
      <c r="G104" s="20" t="s">
        <v>10</v>
      </c>
      <c r="H104" s="58" t="s">
        <v>10</v>
      </c>
    </row>
    <row r="105" spans="1:8" ht="14.4" thickBot="1" x14ac:dyDescent="0.35">
      <c r="A105" s="25" t="s">
        <v>71</v>
      </c>
      <c r="B105" s="26">
        <v>4004.5705939999998</v>
      </c>
      <c r="C105" s="27">
        <v>6417.9980330000017</v>
      </c>
      <c r="D105" s="27">
        <v>10045.762994000006</v>
      </c>
      <c r="E105" s="27">
        <v>11334.567913000003</v>
      </c>
      <c r="F105" s="27">
        <v>13958.263600000002</v>
      </c>
      <c r="G105" s="27">
        <v>16366</v>
      </c>
      <c r="H105" s="66">
        <v>17392</v>
      </c>
    </row>
    <row r="107" spans="1:8" x14ac:dyDescent="0.3">
      <c r="A107" s="77" t="s">
        <v>403</v>
      </c>
      <c r="B107" s="77"/>
      <c r="C107" s="77"/>
      <c r="D107" s="77"/>
      <c r="E107" s="77"/>
      <c r="F107" s="77"/>
    </row>
    <row r="108" spans="1:8" x14ac:dyDescent="0.3">
      <c r="A108" s="77"/>
      <c r="B108" s="77"/>
      <c r="C108" s="77"/>
      <c r="D108" s="77"/>
      <c r="E108" s="77"/>
      <c r="F108" s="77"/>
    </row>
    <row r="109" spans="1:8" ht="14.4" thickBot="1" x14ac:dyDescent="0.35"/>
    <row r="110" spans="1:8" x14ac:dyDescent="0.3">
      <c r="A110" s="90" t="s">
        <v>20</v>
      </c>
      <c r="B110" s="80">
        <v>2007</v>
      </c>
      <c r="C110" s="80">
        <v>2008</v>
      </c>
      <c r="D110" s="80">
        <v>2009</v>
      </c>
      <c r="E110" s="80">
        <v>2010</v>
      </c>
      <c r="F110" s="80">
        <v>2011</v>
      </c>
      <c r="G110" s="80">
        <v>2012</v>
      </c>
      <c r="H110" s="82">
        <v>2013</v>
      </c>
    </row>
    <row r="111" spans="1:8" ht="14.4" thickBot="1" x14ac:dyDescent="0.35">
      <c r="A111" s="91"/>
      <c r="B111" s="81"/>
      <c r="C111" s="81"/>
      <c r="D111" s="81"/>
      <c r="E111" s="81"/>
      <c r="F111" s="81"/>
      <c r="G111" s="81"/>
      <c r="H111" s="83"/>
    </row>
    <row r="112" spans="1:8" x14ac:dyDescent="0.3">
      <c r="A112" s="24" t="s">
        <v>49</v>
      </c>
      <c r="B112" s="1">
        <v>1444361.4378259999</v>
      </c>
      <c r="C112" s="1">
        <v>1602597.0080209998</v>
      </c>
      <c r="D112" s="1">
        <v>1512931.0674320001</v>
      </c>
      <c r="E112" s="1">
        <v>1470449.7064990005</v>
      </c>
      <c r="F112" s="1">
        <v>1256382.6002109998</v>
      </c>
      <c r="G112" s="1">
        <v>1281282.4314849998</v>
      </c>
      <c r="H112" s="65">
        <v>1351273.497094</v>
      </c>
    </row>
    <row r="113" spans="1:8" x14ac:dyDescent="0.3">
      <c r="A113" s="24" t="s">
        <v>21</v>
      </c>
      <c r="B113" s="20">
        <v>322367.04509999999</v>
      </c>
      <c r="C113" s="20">
        <v>382841.5061</v>
      </c>
      <c r="D113" s="20">
        <v>499189.95090000005</v>
      </c>
      <c r="E113" s="20">
        <v>427038.85719999997</v>
      </c>
      <c r="F113" s="20">
        <v>270456.97819999995</v>
      </c>
      <c r="G113" s="20">
        <v>269989.32799999998</v>
      </c>
      <c r="H113" s="58">
        <v>315801.80468</v>
      </c>
    </row>
    <row r="114" spans="1:8" x14ac:dyDescent="0.3">
      <c r="A114" s="24" t="s">
        <v>50</v>
      </c>
      <c r="B114" s="20">
        <v>90083.871795999992</v>
      </c>
      <c r="C114" s="20">
        <v>132767.149217</v>
      </c>
      <c r="D114" s="20">
        <v>146340.50213099999</v>
      </c>
      <c r="E114" s="20">
        <v>144896.23005100002</v>
      </c>
      <c r="F114" s="20">
        <v>161348.05524599997</v>
      </c>
      <c r="G114" s="20">
        <v>185993.96204000001</v>
      </c>
      <c r="H114" s="58">
        <v>225057.36664000002</v>
      </c>
    </row>
    <row r="115" spans="1:8" x14ac:dyDescent="0.3">
      <c r="A115" s="24" t="s">
        <v>51</v>
      </c>
      <c r="B115" s="20">
        <v>276449.89639999997</v>
      </c>
      <c r="C115" s="20">
        <v>279725.71529199998</v>
      </c>
      <c r="D115" s="20">
        <v>264004.38277900004</v>
      </c>
      <c r="E115" s="20">
        <v>251780.96846200002</v>
      </c>
      <c r="F115" s="20">
        <v>165372.70219899999</v>
      </c>
      <c r="G115" s="20">
        <v>157605.15835400001</v>
      </c>
      <c r="H115" s="58">
        <v>163124.96669099998</v>
      </c>
    </row>
    <row r="116" spans="1:8" x14ac:dyDescent="0.3">
      <c r="A116" s="24" t="s">
        <v>30</v>
      </c>
      <c r="B116" s="20">
        <v>202003.49041999999</v>
      </c>
      <c r="C116" s="20">
        <v>203935.67378300001</v>
      </c>
      <c r="D116" s="20">
        <v>50112.221543</v>
      </c>
      <c r="E116" s="20">
        <v>126804.97715299999</v>
      </c>
      <c r="F116" s="20">
        <v>145956.40724</v>
      </c>
      <c r="G116" s="20">
        <v>112540.87022</v>
      </c>
      <c r="H116" s="58">
        <v>107485.22870000001</v>
      </c>
    </row>
    <row r="117" spans="1:8" x14ac:dyDescent="0.3">
      <c r="A117" s="24" t="s">
        <v>52</v>
      </c>
      <c r="B117" s="20">
        <v>69070.307348999995</v>
      </c>
      <c r="C117" s="20">
        <v>84986.084721000021</v>
      </c>
      <c r="D117" s="20">
        <v>99025.353673000005</v>
      </c>
      <c r="E117" s="20">
        <v>104897.11199399999</v>
      </c>
      <c r="F117" s="20">
        <v>103786.07597000001</v>
      </c>
      <c r="G117" s="20">
        <v>99216.904064999995</v>
      </c>
      <c r="H117" s="58">
        <v>104634.46087900001</v>
      </c>
    </row>
    <row r="118" spans="1:8" x14ac:dyDescent="0.3">
      <c r="A118" s="24" t="s">
        <v>53</v>
      </c>
      <c r="B118" s="20">
        <v>59375.043366999991</v>
      </c>
      <c r="C118" s="20">
        <v>61715.578450999994</v>
      </c>
      <c r="D118" s="20">
        <v>62900.800927999997</v>
      </c>
      <c r="E118" s="20">
        <v>61209.273478000003</v>
      </c>
      <c r="F118" s="20">
        <v>47893.183992999991</v>
      </c>
      <c r="G118" s="20">
        <v>45460.600452999992</v>
      </c>
      <c r="H118" s="58">
        <v>45177.428489000013</v>
      </c>
    </row>
    <row r="119" spans="1:8" x14ac:dyDescent="0.3">
      <c r="A119" s="24" t="s">
        <v>54</v>
      </c>
      <c r="B119" s="20">
        <v>44012.764999999999</v>
      </c>
      <c r="C119" s="20">
        <v>41704.523200000003</v>
      </c>
      <c r="D119" s="20">
        <v>34087.457299999995</v>
      </c>
      <c r="E119" s="20">
        <v>37364.4041</v>
      </c>
      <c r="F119" s="20">
        <v>35443.786099999998</v>
      </c>
      <c r="G119" s="20">
        <v>33803.935399999995</v>
      </c>
      <c r="H119" s="58">
        <v>34833.9375</v>
      </c>
    </row>
    <row r="120" spans="1:8" x14ac:dyDescent="0.3">
      <c r="A120" s="24" t="s">
        <v>55</v>
      </c>
      <c r="B120" s="20">
        <v>19970.139365999999</v>
      </c>
      <c r="C120" s="20">
        <v>33420.767851999997</v>
      </c>
      <c r="D120" s="20">
        <v>38105.441590000002</v>
      </c>
      <c r="E120" s="20">
        <v>42272.238086999998</v>
      </c>
      <c r="F120" s="20">
        <v>38163.758833</v>
      </c>
      <c r="G120" s="20">
        <v>32831.003840999998</v>
      </c>
      <c r="H120" s="58">
        <v>31960.166399000002</v>
      </c>
    </row>
    <row r="121" spans="1:8" x14ac:dyDescent="0.3">
      <c r="A121" s="24" t="s">
        <v>56</v>
      </c>
      <c r="B121" s="20">
        <v>37953.871996000002</v>
      </c>
      <c r="C121" s="20">
        <v>39221.519590999997</v>
      </c>
      <c r="D121" s="20">
        <v>27577.460280000003</v>
      </c>
      <c r="E121" s="20">
        <v>28638.080831000003</v>
      </c>
      <c r="F121" s="20">
        <v>22082.937534000001</v>
      </c>
      <c r="G121" s="20">
        <v>37570.062606</v>
      </c>
      <c r="H121" s="58">
        <v>26498.443786999997</v>
      </c>
    </row>
    <row r="122" spans="1:8" x14ac:dyDescent="0.3">
      <c r="A122" s="24" t="s">
        <v>57</v>
      </c>
      <c r="B122" s="20">
        <v>91264.396199999988</v>
      </c>
      <c r="C122" s="20">
        <v>85111.354200000016</v>
      </c>
      <c r="D122" s="20">
        <v>70364.387700000007</v>
      </c>
      <c r="E122" s="20">
        <v>36971.460200000001</v>
      </c>
      <c r="F122" s="20">
        <v>24880.460800000001</v>
      </c>
      <c r="G122" s="20">
        <v>34769.136400000003</v>
      </c>
      <c r="H122" s="58">
        <v>25559.122499999998</v>
      </c>
    </row>
    <row r="123" spans="1:8" x14ac:dyDescent="0.3">
      <c r="A123" s="24" t="s">
        <v>58</v>
      </c>
      <c r="B123" s="20">
        <v>20882.017389000001</v>
      </c>
      <c r="C123" s="20">
        <v>20465.884224000001</v>
      </c>
      <c r="D123" s="20">
        <v>21544.374813000002</v>
      </c>
      <c r="E123" s="20">
        <v>21567.199896999999</v>
      </c>
      <c r="F123" s="20">
        <v>18944.769239999998</v>
      </c>
      <c r="G123" s="20">
        <v>25103.223629000004</v>
      </c>
      <c r="H123" s="58">
        <v>25286.826625000002</v>
      </c>
    </row>
    <row r="124" spans="1:8" x14ac:dyDescent="0.3">
      <c r="A124" s="24" t="s">
        <v>59</v>
      </c>
      <c r="B124" s="20">
        <v>13558.382203000001</v>
      </c>
      <c r="C124" s="20">
        <v>14614.492377999999</v>
      </c>
      <c r="D124" s="20">
        <v>11094.163839999999</v>
      </c>
      <c r="E124" s="20">
        <v>10398.688085</v>
      </c>
      <c r="F124" s="20">
        <v>11601.755942</v>
      </c>
      <c r="G124" s="20">
        <v>21572.213146999999</v>
      </c>
      <c r="H124" s="58">
        <v>25014.107060999999</v>
      </c>
    </row>
    <row r="125" spans="1:8" x14ac:dyDescent="0.3">
      <c r="A125" s="24" t="s">
        <v>60</v>
      </c>
      <c r="B125" s="20">
        <v>21081.343395</v>
      </c>
      <c r="C125" s="20">
        <v>23999.232257</v>
      </c>
      <c r="D125" s="20">
        <v>18658.501532999999</v>
      </c>
      <c r="E125" s="20">
        <v>22338.224969999999</v>
      </c>
      <c r="F125" s="20">
        <v>20343.859389999998</v>
      </c>
      <c r="G125" s="20">
        <v>20741.485279999997</v>
      </c>
      <c r="H125" s="58">
        <v>23870.304619999999</v>
      </c>
    </row>
    <row r="126" spans="1:8" x14ac:dyDescent="0.3">
      <c r="A126" s="24" t="s">
        <v>61</v>
      </c>
      <c r="B126" s="20" t="s">
        <v>10</v>
      </c>
      <c r="C126" s="20" t="s">
        <v>10</v>
      </c>
      <c r="D126" s="20" t="s">
        <v>10</v>
      </c>
      <c r="E126" s="20" t="s">
        <v>10</v>
      </c>
      <c r="F126" s="20">
        <v>58399.938608999997</v>
      </c>
      <c r="G126" s="20">
        <v>49557.382697000001</v>
      </c>
      <c r="H126" s="58">
        <v>20296.817013</v>
      </c>
    </row>
    <row r="127" spans="1:8" x14ac:dyDescent="0.3">
      <c r="A127" s="24" t="s">
        <v>41</v>
      </c>
      <c r="B127" s="20">
        <v>35479.300741000006</v>
      </c>
      <c r="C127" s="20">
        <v>36664.629597000006</v>
      </c>
      <c r="D127" s="20">
        <v>28435.812832999996</v>
      </c>
      <c r="E127" s="20">
        <v>27889.040327999995</v>
      </c>
      <c r="F127" s="20">
        <v>26191.553557999996</v>
      </c>
      <c r="G127" s="20">
        <v>22639.243027</v>
      </c>
      <c r="H127" s="58">
        <v>18890.173642000002</v>
      </c>
    </row>
    <row r="128" spans="1:8" x14ac:dyDescent="0.3">
      <c r="A128" s="24" t="s">
        <v>34</v>
      </c>
      <c r="B128" s="20">
        <v>19678.422377999999</v>
      </c>
      <c r="C128" s="20">
        <v>19833.084160000002</v>
      </c>
      <c r="D128" s="20">
        <v>19980.264393999998</v>
      </c>
      <c r="E128" s="20">
        <v>17754.178915</v>
      </c>
      <c r="F128" s="20">
        <v>12581.288247999999</v>
      </c>
      <c r="G128" s="20">
        <v>14022.598347000001</v>
      </c>
      <c r="H128" s="58">
        <v>18065.562857999998</v>
      </c>
    </row>
    <row r="129" spans="1:10" x14ac:dyDescent="0.3">
      <c r="A129" s="24" t="s">
        <v>62</v>
      </c>
      <c r="B129" s="20">
        <v>9161.9926470000009</v>
      </c>
      <c r="C129" s="20">
        <v>12499.863353000001</v>
      </c>
      <c r="D129" s="20">
        <v>9827.2044389999992</v>
      </c>
      <c r="E129" s="20">
        <v>10373.354607000001</v>
      </c>
      <c r="F129" s="20">
        <v>7169.7266569999992</v>
      </c>
      <c r="G129" s="20">
        <v>7013.268740999999</v>
      </c>
      <c r="H129" s="58">
        <v>7299.8281699999989</v>
      </c>
    </row>
    <row r="130" spans="1:10" x14ac:dyDescent="0.3">
      <c r="A130" s="24" t="s">
        <v>63</v>
      </c>
      <c r="B130" s="20">
        <v>22401.538379000001</v>
      </c>
      <c r="C130" s="20">
        <v>22461.779459000005</v>
      </c>
      <c r="D130" s="20">
        <v>24966.503148999996</v>
      </c>
      <c r="E130" s="20">
        <v>22247.006160000001</v>
      </c>
      <c r="F130" s="20">
        <v>19435.117515000002</v>
      </c>
      <c r="G130" s="20">
        <v>8167.8479069999994</v>
      </c>
      <c r="H130" s="58">
        <v>6410.9425259999998</v>
      </c>
    </row>
    <row r="131" spans="1:10" x14ac:dyDescent="0.3">
      <c r="A131" s="24" t="s">
        <v>64</v>
      </c>
      <c r="B131" s="20">
        <v>3485.9997330000006</v>
      </c>
      <c r="C131" s="20">
        <v>4274.0537700000004</v>
      </c>
      <c r="D131" s="20">
        <v>5574.5205220000007</v>
      </c>
      <c r="E131" s="20">
        <v>4362.5119259999992</v>
      </c>
      <c r="F131" s="20">
        <v>5379.1541470000002</v>
      </c>
      <c r="G131" s="20">
        <v>5352.4340060000004</v>
      </c>
      <c r="H131" s="58">
        <v>5498.4433660000004</v>
      </c>
    </row>
    <row r="132" spans="1:10" x14ac:dyDescent="0.3">
      <c r="A132" s="24" t="s">
        <v>65</v>
      </c>
      <c r="B132" s="20">
        <v>6670.6361890000007</v>
      </c>
      <c r="C132" s="20">
        <v>9830.5096379999995</v>
      </c>
      <c r="D132" s="20">
        <v>13333.496067</v>
      </c>
      <c r="E132" s="20">
        <v>6714.0555960000002</v>
      </c>
      <c r="F132" s="20">
        <v>1198.3708199999999</v>
      </c>
      <c r="G132" s="20">
        <v>735.30436400000008</v>
      </c>
      <c r="H132" s="58">
        <v>3133.0388859999998</v>
      </c>
    </row>
    <row r="133" spans="1:10" x14ac:dyDescent="0.3">
      <c r="A133" s="24" t="s">
        <v>66</v>
      </c>
      <c r="B133" s="20">
        <v>18240.737975</v>
      </c>
      <c r="C133" s="20">
        <v>27382.74828</v>
      </c>
      <c r="D133" s="20">
        <v>14209.101556000003</v>
      </c>
      <c r="E133" s="20">
        <v>9048.3154329999998</v>
      </c>
      <c r="F133" s="20" t="s">
        <v>10</v>
      </c>
      <c r="G133" s="20" t="s">
        <v>10</v>
      </c>
      <c r="H133" s="58" t="s">
        <v>10</v>
      </c>
    </row>
    <row r="134" spans="1:10" x14ac:dyDescent="0.3">
      <c r="A134" s="24" t="s">
        <v>67</v>
      </c>
      <c r="B134" s="20">
        <v>14857.3802</v>
      </c>
      <c r="C134" s="20">
        <v>8930.7710999999999</v>
      </c>
      <c r="D134" s="20" t="s">
        <v>10</v>
      </c>
      <c r="E134" s="20" t="s">
        <v>10</v>
      </c>
      <c r="F134" s="20" t="s">
        <v>10</v>
      </c>
      <c r="G134" s="20" t="s">
        <v>10</v>
      </c>
      <c r="H134" s="58" t="s">
        <v>10</v>
      </c>
    </row>
    <row r="135" spans="1:10" x14ac:dyDescent="0.3">
      <c r="A135" s="24" t="s">
        <v>68</v>
      </c>
      <c r="B135" s="20" t="s">
        <v>10</v>
      </c>
      <c r="C135" s="20" t="s">
        <v>10</v>
      </c>
      <c r="D135" s="20" t="s">
        <v>10</v>
      </c>
      <c r="E135" s="20" t="s">
        <v>10</v>
      </c>
      <c r="F135" s="20" t="s">
        <v>10</v>
      </c>
      <c r="G135" s="20" t="s">
        <v>10</v>
      </c>
      <c r="H135" s="58" t="s">
        <v>10</v>
      </c>
    </row>
    <row r="136" spans="1:10" x14ac:dyDescent="0.3">
      <c r="A136" s="24" t="s">
        <v>69</v>
      </c>
      <c r="B136" s="20" t="s">
        <v>10</v>
      </c>
      <c r="C136" s="20" t="s">
        <v>10</v>
      </c>
      <c r="D136" s="20" t="s">
        <v>10</v>
      </c>
      <c r="E136" s="20" t="s">
        <v>10</v>
      </c>
      <c r="F136" s="20" t="s">
        <v>10</v>
      </c>
      <c r="G136" s="20" t="s">
        <v>10</v>
      </c>
      <c r="H136" s="58" t="s">
        <v>10</v>
      </c>
    </row>
    <row r="137" spans="1:10" x14ac:dyDescent="0.3">
      <c r="A137" s="24" t="s">
        <v>70</v>
      </c>
      <c r="B137" s="20" t="s">
        <v>10</v>
      </c>
      <c r="C137" s="20" t="s">
        <v>10</v>
      </c>
      <c r="D137" s="20" t="s">
        <v>10</v>
      </c>
      <c r="E137" s="20" t="s">
        <v>10</v>
      </c>
      <c r="F137" s="20" t="s">
        <v>10</v>
      </c>
      <c r="G137" s="20" t="s">
        <v>10</v>
      </c>
      <c r="H137" s="58" t="s">
        <v>10</v>
      </c>
    </row>
    <row r="138" spans="1:10" ht="14.4" thickBot="1" x14ac:dyDescent="0.35">
      <c r="A138" s="25" t="s">
        <v>71</v>
      </c>
      <c r="B138" s="27">
        <v>46312.859602999997</v>
      </c>
      <c r="C138" s="27">
        <v>56210.087398000011</v>
      </c>
      <c r="D138" s="27">
        <v>53599.165462000004</v>
      </c>
      <c r="E138" s="27">
        <v>55883.529026000011</v>
      </c>
      <c r="F138" s="27">
        <v>59752.719969999991</v>
      </c>
      <c r="G138" s="27">
        <v>96596.468960999977</v>
      </c>
      <c r="H138" s="66">
        <v>117374.52606200008</v>
      </c>
    </row>
    <row r="140" spans="1:10" x14ac:dyDescent="0.3">
      <c r="A140" s="77" t="s">
        <v>404</v>
      </c>
      <c r="B140" s="77"/>
      <c r="C140" s="77"/>
      <c r="D140" s="77"/>
      <c r="E140" s="77"/>
      <c r="F140" s="77"/>
    </row>
    <row r="141" spans="1:10" x14ac:dyDescent="0.3">
      <c r="A141" s="77"/>
      <c r="B141" s="77"/>
      <c r="C141" s="77"/>
      <c r="D141" s="77"/>
      <c r="E141" s="77"/>
      <c r="F141" s="77"/>
    </row>
    <row r="142" spans="1:10" ht="14.4" thickBot="1" x14ac:dyDescent="0.35"/>
    <row r="143" spans="1:10" x14ac:dyDescent="0.3">
      <c r="A143" s="90" t="s">
        <v>20</v>
      </c>
      <c r="B143" s="80">
        <v>2007</v>
      </c>
      <c r="C143" s="80">
        <v>2008</v>
      </c>
      <c r="D143" s="80">
        <v>2009</v>
      </c>
      <c r="E143" s="80">
        <v>2010</v>
      </c>
      <c r="F143" s="80">
        <v>2011</v>
      </c>
      <c r="G143" s="80">
        <v>2012</v>
      </c>
      <c r="H143" s="82">
        <v>2013</v>
      </c>
    </row>
    <row r="144" spans="1:10" ht="14.4" thickBot="1" x14ac:dyDescent="0.35">
      <c r="A144" s="91"/>
      <c r="B144" s="81"/>
      <c r="C144" s="81"/>
      <c r="D144" s="81"/>
      <c r="E144" s="81"/>
      <c r="F144" s="81"/>
      <c r="G144" s="81"/>
      <c r="H144" s="83"/>
      <c r="J144" s="28"/>
    </row>
    <row r="145" spans="1:11" x14ac:dyDescent="0.3">
      <c r="A145" s="29" t="s">
        <v>49</v>
      </c>
      <c r="B145" s="1">
        <f>1000*5473.18845713696</f>
        <v>5473188.4571369598</v>
      </c>
      <c r="C145" s="1">
        <f>1000*5782.94708636968</f>
        <v>5782947.0863696793</v>
      </c>
      <c r="D145" s="1">
        <f>1000*5915.54326533848</f>
        <v>5915543.2653384795</v>
      </c>
      <c r="E145" s="1">
        <f>1000*5275.41470766178</f>
        <v>5275414.7076617805</v>
      </c>
      <c r="F145" s="1">
        <f>1000*5343.00585725296</f>
        <v>5343005.8572529601</v>
      </c>
      <c r="G145" s="1">
        <f>1000*5193.69556460082</f>
        <v>5193695.5646008197</v>
      </c>
      <c r="H145" s="65">
        <f>1000*4870.36747000347</f>
        <v>4870367.4700034698</v>
      </c>
    </row>
    <row r="146" spans="1:11" x14ac:dyDescent="0.3">
      <c r="A146" s="24" t="s">
        <v>72</v>
      </c>
      <c r="B146" s="20">
        <f>1000*1563.6029334225</f>
        <v>1563602.9334225</v>
      </c>
      <c r="C146" s="20">
        <f>1000*1806.73383338263</f>
        <v>1806733.83338263</v>
      </c>
      <c r="D146" s="20">
        <f>1000*2058.1713341864</f>
        <v>2058171.3341864001</v>
      </c>
      <c r="E146" s="20">
        <f>1000*1461.61555639862</f>
        <v>1461615.5563986199</v>
      </c>
      <c r="F146" s="20">
        <v>1293116.4260728662</v>
      </c>
      <c r="G146" s="20">
        <v>1345984.0032890083</v>
      </c>
      <c r="H146" s="58">
        <v>1017256.1697038285</v>
      </c>
    </row>
    <row r="147" spans="1:11" x14ac:dyDescent="0.3">
      <c r="A147" s="24" t="s">
        <v>73</v>
      </c>
      <c r="B147" s="20">
        <f>1000*1605.90305206227</f>
        <v>1605903.05206227</v>
      </c>
      <c r="C147" s="20">
        <f>1000*1575.2636935538</f>
        <v>1575263.6935538</v>
      </c>
      <c r="D147" s="20">
        <f>1000*1278.18392280894</f>
        <v>1278183.9228089401</v>
      </c>
      <c r="E147" s="20">
        <f>1000*998.408827258581</f>
        <v>998408.82725858106</v>
      </c>
      <c r="F147" s="20">
        <v>915312.83377422544</v>
      </c>
      <c r="G147" s="20">
        <v>864539.66551428125</v>
      </c>
      <c r="H147" s="58">
        <v>700921.37244563329</v>
      </c>
    </row>
    <row r="148" spans="1:11" x14ac:dyDescent="0.3">
      <c r="A148" s="24" t="s">
        <v>59</v>
      </c>
      <c r="B148" s="20">
        <f>1000*365.445783610386</f>
        <v>365445.78361038602</v>
      </c>
      <c r="C148" s="20">
        <f>1000*362.672891997004</f>
        <v>362672.89199700399</v>
      </c>
      <c r="D148" s="20">
        <f>1000*358.599369486426</f>
        <v>358599.369486426</v>
      </c>
      <c r="E148" s="20">
        <f>1000*384.833191633509</f>
        <v>384833.19163350901</v>
      </c>
      <c r="F148" s="20">
        <v>341884.87927718973</v>
      </c>
      <c r="G148" s="20">
        <v>274117.01960872696</v>
      </c>
      <c r="H148" s="58">
        <v>248952.21131959002</v>
      </c>
    </row>
    <row r="149" spans="1:11" x14ac:dyDescent="0.3">
      <c r="A149" s="24" t="s">
        <v>74</v>
      </c>
      <c r="B149" s="30" t="s">
        <v>19</v>
      </c>
      <c r="C149" s="20" t="s">
        <v>19</v>
      </c>
      <c r="D149" s="30" t="s">
        <v>19</v>
      </c>
      <c r="E149" s="20" t="s">
        <v>19</v>
      </c>
      <c r="F149" s="20">
        <v>53244.769094252755</v>
      </c>
      <c r="G149" s="20">
        <v>199777.0361412827</v>
      </c>
      <c r="H149" s="58">
        <v>211034.15681786032</v>
      </c>
    </row>
    <row r="150" spans="1:11" x14ac:dyDescent="0.3">
      <c r="A150" s="24" t="s">
        <v>75</v>
      </c>
      <c r="B150" s="20">
        <f>1000*155.553243319005</f>
        <v>155553.24331900498</v>
      </c>
      <c r="C150" s="20">
        <f>1000*165.969860243637</f>
        <v>165969.860243637</v>
      </c>
      <c r="D150" s="20">
        <f>1000*161.017215100439</f>
        <v>161017.21510043897</v>
      </c>
      <c r="E150" s="20">
        <v>193140.21638328038</v>
      </c>
      <c r="F150" s="20">
        <v>189620.57597644645</v>
      </c>
      <c r="G150" s="20">
        <v>184139.08584552913</v>
      </c>
      <c r="H150" s="58">
        <v>199392.03179053229</v>
      </c>
      <c r="K150" s="20"/>
    </row>
    <row r="151" spans="1:11" x14ac:dyDescent="0.3">
      <c r="A151" s="24" t="s">
        <v>76</v>
      </c>
      <c r="B151" s="20">
        <f>1000*130.322228037912</f>
        <v>130322.22803791199</v>
      </c>
      <c r="C151" s="20">
        <f>1000*138.993700664875</f>
        <v>138993.70066487501</v>
      </c>
      <c r="D151" s="20">
        <f>1000*152.704978555537</f>
        <v>152704.978555537</v>
      </c>
      <c r="E151" s="20">
        <v>156535.23441016476</v>
      </c>
      <c r="F151" s="20">
        <v>165907.53202201676</v>
      </c>
      <c r="G151" s="20">
        <v>175712.52964287091</v>
      </c>
      <c r="H151" s="58">
        <v>175712.52202317416</v>
      </c>
      <c r="K151" s="20"/>
    </row>
    <row r="152" spans="1:11" x14ac:dyDescent="0.3">
      <c r="A152" s="24" t="s">
        <v>26</v>
      </c>
      <c r="B152" s="20" t="s">
        <v>19</v>
      </c>
      <c r="C152" s="20">
        <f>1000*34.9746604701707</f>
        <v>34974.660470170696</v>
      </c>
      <c r="D152" s="20">
        <f>1000*142.845222546586</f>
        <v>142845.22254658601</v>
      </c>
      <c r="E152" s="20">
        <v>160374.08148895949</v>
      </c>
      <c r="F152" s="20">
        <v>168219.27291374633</v>
      </c>
      <c r="G152" s="20">
        <v>177073.04013040292</v>
      </c>
      <c r="H152" s="58">
        <v>166124.1464010597</v>
      </c>
      <c r="K152" s="20"/>
    </row>
    <row r="153" spans="1:11" x14ac:dyDescent="0.3">
      <c r="A153" s="24" t="s">
        <v>77</v>
      </c>
      <c r="B153" s="20">
        <f>1000*171.15713084659</f>
        <v>171157.13084659001</v>
      </c>
      <c r="C153" s="20">
        <f>1000*147.932031726231</f>
        <v>147932.03172623101</v>
      </c>
      <c r="D153" s="20">
        <f>1000*171.519194492985</f>
        <v>171519.194492985</v>
      </c>
      <c r="E153" s="20">
        <v>209380.79790043595</v>
      </c>
      <c r="F153" s="20">
        <v>199150.81952333491</v>
      </c>
      <c r="G153" s="20">
        <v>177813.40142977017</v>
      </c>
      <c r="H153" s="58">
        <v>158023.41208091666</v>
      </c>
      <c r="K153" s="20"/>
    </row>
    <row r="154" spans="1:11" x14ac:dyDescent="0.3">
      <c r="A154" s="24" t="s">
        <v>78</v>
      </c>
      <c r="B154" s="20">
        <f>1000*78.3405306218573</f>
        <v>78340.530621857295</v>
      </c>
      <c r="C154" s="20">
        <f>1000*101.411119671035</f>
        <v>101411.11967103499</v>
      </c>
      <c r="D154" s="20">
        <f>1000*105.953280891119</f>
        <v>105953.28089111899</v>
      </c>
      <c r="E154" s="20">
        <v>115519.92634614641</v>
      </c>
      <c r="F154" s="20">
        <v>114464.04826868912</v>
      </c>
      <c r="G154" s="20">
        <v>127260.46827987755</v>
      </c>
      <c r="H154" s="58">
        <v>146639.77803212489</v>
      </c>
      <c r="K154" s="20"/>
    </row>
    <row r="155" spans="1:11" x14ac:dyDescent="0.3">
      <c r="A155" s="24" t="s">
        <v>79</v>
      </c>
      <c r="B155" s="30" t="s">
        <v>19</v>
      </c>
      <c r="C155" s="20" t="s">
        <v>19</v>
      </c>
      <c r="D155" s="20" t="s">
        <v>19</v>
      </c>
      <c r="E155" s="20" t="s">
        <v>10</v>
      </c>
      <c r="F155" s="20">
        <v>44361.326383441148</v>
      </c>
      <c r="G155" s="20">
        <v>139212.18115491455</v>
      </c>
      <c r="H155" s="58">
        <v>142706.11761982535</v>
      </c>
      <c r="K155" s="20"/>
    </row>
    <row r="156" spans="1:11" x14ac:dyDescent="0.3">
      <c r="A156" s="24" t="s">
        <v>80</v>
      </c>
      <c r="B156" s="20" t="s">
        <v>19</v>
      </c>
      <c r="C156" s="20" t="s">
        <v>19</v>
      </c>
      <c r="D156" s="20" t="s">
        <v>19</v>
      </c>
      <c r="E156" s="20">
        <v>38215.065097930783</v>
      </c>
      <c r="F156" s="20">
        <v>134377.28001003098</v>
      </c>
      <c r="G156" s="20">
        <v>112399.83569844005</v>
      </c>
      <c r="H156" s="58">
        <v>137389.94843040677</v>
      </c>
      <c r="K156" s="20"/>
    </row>
    <row r="157" spans="1:11" x14ac:dyDescent="0.3">
      <c r="A157" s="24" t="s">
        <v>81</v>
      </c>
      <c r="B157" s="20">
        <f>1000*177.170738811006</f>
        <v>177170.73881100601</v>
      </c>
      <c r="C157" s="20">
        <f>1000*168.338329654284</f>
        <v>168338.329654284</v>
      </c>
      <c r="D157" s="20">
        <f>1000*158.152983539333</f>
        <v>158152.98353933301</v>
      </c>
      <c r="E157" s="20">
        <v>185497.2417799226</v>
      </c>
      <c r="F157" s="20">
        <v>181983.76918134879</v>
      </c>
      <c r="G157" s="20">
        <v>160564.28773248114</v>
      </c>
      <c r="H157" s="58">
        <v>115490.45769621524</v>
      </c>
      <c r="K157" s="20"/>
    </row>
    <row r="158" spans="1:11" x14ac:dyDescent="0.3">
      <c r="A158" s="24" t="s">
        <v>82</v>
      </c>
      <c r="B158" s="20">
        <f>1000*36.6214406370967</f>
        <v>36621.440637096697</v>
      </c>
      <c r="C158" s="20">
        <f>1000*88.3306979073483</f>
        <v>88330.697907348294</v>
      </c>
      <c r="D158" s="20">
        <f>1000*86.5088706044316</f>
        <v>86508.870604431606</v>
      </c>
      <c r="E158" s="20">
        <v>66837.915203256212</v>
      </c>
      <c r="F158" s="20">
        <v>68671.237108855566</v>
      </c>
      <c r="G158" s="20">
        <v>90781.363672661682</v>
      </c>
      <c r="H158" s="58">
        <v>108147.25626615569</v>
      </c>
      <c r="K158" s="20"/>
    </row>
    <row r="159" spans="1:11" x14ac:dyDescent="0.3">
      <c r="A159" s="24" t="s">
        <v>24</v>
      </c>
      <c r="B159" s="20">
        <f>1000*38.7912030128024</f>
        <v>38791.203012802398</v>
      </c>
      <c r="C159" s="20">
        <f>1000*36.6443218791394</f>
        <v>36644.321879139396</v>
      </c>
      <c r="D159" s="20">
        <f>1000*37.5391395963811</f>
        <v>37539.139596381101</v>
      </c>
      <c r="E159" s="20">
        <v>30080.249263750818</v>
      </c>
      <c r="F159" s="20">
        <v>34028.042557774657</v>
      </c>
      <c r="G159" s="20">
        <v>19133.308934817833</v>
      </c>
      <c r="H159" s="58">
        <v>78718.05835980401</v>
      </c>
      <c r="K159" s="20"/>
    </row>
    <row r="160" spans="1:11" x14ac:dyDescent="0.3">
      <c r="A160" s="24" t="s">
        <v>83</v>
      </c>
      <c r="B160" s="20">
        <f>1000*34.0523180826014</f>
        <v>34052.3180826014</v>
      </c>
      <c r="C160" s="20">
        <f>1000*30.73580313012</f>
        <v>30735.803130119999</v>
      </c>
      <c r="D160" s="20">
        <f>1000*29.4275541564321</f>
        <v>29427.554156432103</v>
      </c>
      <c r="E160" s="20">
        <v>31802.910024209421</v>
      </c>
      <c r="F160" s="20">
        <v>30713.677318509755</v>
      </c>
      <c r="G160" s="20">
        <v>35326.907813468533</v>
      </c>
      <c r="H160" s="58">
        <v>42096.799084350365</v>
      </c>
      <c r="K160" s="20"/>
    </row>
    <row r="161" spans="1:11" x14ac:dyDescent="0.3">
      <c r="A161" s="24" t="s">
        <v>84</v>
      </c>
      <c r="B161" s="20">
        <f>1000*186.086575870639</f>
        <v>186086.575870639</v>
      </c>
      <c r="C161" s="20">
        <f>1000*99.0650564037603</f>
        <v>99065.056403760289</v>
      </c>
      <c r="D161" s="20">
        <f>1000*74.4557692289639</f>
        <v>74455.769228963909</v>
      </c>
      <c r="E161" s="20">
        <v>58215.951107910339</v>
      </c>
      <c r="F161" s="20">
        <v>46681.874969456912</v>
      </c>
      <c r="G161" s="20">
        <v>44615.92522408982</v>
      </c>
      <c r="H161" s="58">
        <v>40441.363700664871</v>
      </c>
      <c r="K161" s="20"/>
    </row>
    <row r="162" spans="1:11" x14ac:dyDescent="0.3">
      <c r="A162" s="24" t="s">
        <v>85</v>
      </c>
      <c r="B162" s="20">
        <f>1000*32.2603995813989</f>
        <v>32260.399581398899</v>
      </c>
      <c r="C162" s="20">
        <f>1000*39.1617901496933</f>
        <v>39161.790149693305</v>
      </c>
      <c r="D162" s="20">
        <f>1000*24.0721696105917</f>
        <v>24072.1696105917</v>
      </c>
      <c r="E162" s="20">
        <v>14156.85046103988</v>
      </c>
      <c r="F162" s="20">
        <v>14594.152049923485</v>
      </c>
      <c r="G162" s="20">
        <v>18720.934908499341</v>
      </c>
      <c r="H162" s="58">
        <v>24046.669838861097</v>
      </c>
      <c r="K162" s="20"/>
    </row>
    <row r="163" spans="1:11" x14ac:dyDescent="0.3">
      <c r="A163" s="24" t="s">
        <v>86</v>
      </c>
      <c r="B163" s="20">
        <f>1000*89.6786395132718</f>
        <v>89678.639513271803</v>
      </c>
      <c r="C163" s="20">
        <f>1000*73.8311527442804</f>
        <v>73831.152744280407</v>
      </c>
      <c r="D163" s="20">
        <f>1000*95.9255228908872</f>
        <v>95925.522890887194</v>
      </c>
      <c r="E163" s="20">
        <v>79853.445319191349</v>
      </c>
      <c r="F163" s="20">
        <v>30880.158825955838</v>
      </c>
      <c r="G163" s="20">
        <v>20755.969206458412</v>
      </c>
      <c r="H163" s="58">
        <v>16802.845972813437</v>
      </c>
      <c r="K163" s="20"/>
    </row>
    <row r="164" spans="1:11" x14ac:dyDescent="0.3">
      <c r="A164" s="24" t="s">
        <v>27</v>
      </c>
      <c r="B164" s="20">
        <f>1000*0.61823454519734</f>
        <v>618.23454519734003</v>
      </c>
      <c r="C164" s="20">
        <f>1000*3.18369860723518</f>
        <v>3183.6986072351801</v>
      </c>
      <c r="D164" s="20">
        <f>1000*3.20891665273473</f>
        <v>3208.9166527347302</v>
      </c>
      <c r="E164" s="20">
        <v>5522.9757970138498</v>
      </c>
      <c r="F164" s="20">
        <v>8497.0035622886098</v>
      </c>
      <c r="G164" s="20">
        <v>9905.7613909643896</v>
      </c>
      <c r="H164" s="58">
        <v>14995.241708355303</v>
      </c>
      <c r="K164" s="20"/>
    </row>
    <row r="165" spans="1:11" x14ac:dyDescent="0.3">
      <c r="A165" s="24" t="s">
        <v>22</v>
      </c>
      <c r="B165" s="20">
        <f>1000*7.31222367751643</f>
        <v>7312.2236775164301</v>
      </c>
      <c r="C165" s="20">
        <f>1000*7.06329850563922</f>
        <v>7063.2985056392199</v>
      </c>
      <c r="D165" s="20">
        <f>1000*7.55321122956828</f>
        <v>7553.21122956828</v>
      </c>
      <c r="E165" s="20">
        <v>6698.9356505356291</v>
      </c>
      <c r="F165" s="20">
        <v>7597.3963431885686</v>
      </c>
      <c r="G165" s="20">
        <v>7516.7761569721824</v>
      </c>
      <c r="H165" s="58">
        <v>14032.55571702311</v>
      </c>
      <c r="K165" s="20"/>
    </row>
    <row r="166" spans="1:11" x14ac:dyDescent="0.3">
      <c r="A166" s="24" t="s">
        <v>87</v>
      </c>
      <c r="B166" s="20">
        <f>1000*28.4401096706169</f>
        <v>28440.109670616897</v>
      </c>
      <c r="C166" s="20">
        <f>1000*47.3643168935429</f>
        <v>47364.316893542898</v>
      </c>
      <c r="D166" s="20">
        <f>1000*51.0281038207796</f>
        <v>51028.103820779601</v>
      </c>
      <c r="E166" s="20">
        <v>24731.78962824239</v>
      </c>
      <c r="F166" s="20">
        <v>25149.395799843103</v>
      </c>
      <c r="G166" s="20">
        <v>9980.575071695881</v>
      </c>
      <c r="H166" s="58">
        <v>5787.9795264856803</v>
      </c>
      <c r="K166" s="20"/>
    </row>
    <row r="167" spans="1:11" x14ac:dyDescent="0.3">
      <c r="A167" s="24" t="s">
        <v>88</v>
      </c>
      <c r="B167" s="20">
        <f>1000*7.98698528401857</f>
        <v>7986.9852840185704</v>
      </c>
      <c r="C167" s="20">
        <f>1000*7.6592096471148</f>
        <v>7659.2096471147997</v>
      </c>
      <c r="D167" s="20">
        <f>1000*5.5148031777672</f>
        <v>5514.8031777671995</v>
      </c>
      <c r="E167" s="20">
        <v>5512.8331019560437</v>
      </c>
      <c r="F167" s="20">
        <v>5022.5568947002921</v>
      </c>
      <c r="G167" s="20">
        <v>4540.4268952468519</v>
      </c>
      <c r="H167" s="58">
        <v>4155.6604380200361</v>
      </c>
      <c r="K167" s="20"/>
    </row>
    <row r="168" spans="1:11" x14ac:dyDescent="0.3">
      <c r="A168" s="24" t="s">
        <v>89</v>
      </c>
      <c r="B168" s="20">
        <f>1000*22.9187617551666</f>
        <v>22918.761755166601</v>
      </c>
      <c r="C168" s="20">
        <f>1000*17.3431092685734</f>
        <v>17343.1092685734</v>
      </c>
      <c r="D168" s="20">
        <f>1000*11.2722401982729</f>
        <v>11272.240198272901</v>
      </c>
      <c r="E168" s="20">
        <v>5636.6080313854336</v>
      </c>
      <c r="F168" s="20">
        <v>7978.0338652117425</v>
      </c>
      <c r="G168" s="20">
        <v>6970.5838432850214</v>
      </c>
      <c r="H168" s="58">
        <v>2661.7497653004798</v>
      </c>
      <c r="K168" s="20"/>
    </row>
    <row r="169" spans="1:11" x14ac:dyDescent="0.3">
      <c r="A169" s="24" t="s">
        <v>90</v>
      </c>
      <c r="B169" s="20">
        <f>1000*2.27297345609511</f>
        <v>2272.9734560951101</v>
      </c>
      <c r="C169" s="20">
        <f>1000*1.67708859115987</f>
        <v>1677.08859115987</v>
      </c>
      <c r="D169" s="20">
        <f>1000*1.57550227208426</f>
        <v>1575.5022720842599</v>
      </c>
      <c r="E169" s="20">
        <v>1979.3468848622024</v>
      </c>
      <c r="F169" s="20">
        <v>2424.6557791702562</v>
      </c>
      <c r="G169" s="20">
        <v>1942.3933937550639</v>
      </c>
      <c r="H169" s="58">
        <v>963.65050990882082</v>
      </c>
      <c r="K169" s="20"/>
    </row>
    <row r="170" spans="1:11" x14ac:dyDescent="0.3">
      <c r="A170" s="24" t="s">
        <v>46</v>
      </c>
      <c r="B170" s="20">
        <f>1000*212.263259069304</f>
        <v>212263.25906930401</v>
      </c>
      <c r="C170" s="20">
        <f>1000*291.415921316504</f>
        <v>291415.92131650401</v>
      </c>
      <c r="D170" s="20">
        <f>1000*346.84881087575</f>
        <v>346848.81087575003</v>
      </c>
      <c r="E170" s="20">
        <v>430806.43799605244</v>
      </c>
      <c r="F170" s="20">
        <v>536040.90448513988</v>
      </c>
      <c r="G170" s="20">
        <v>618000</v>
      </c>
      <c r="H170" s="58">
        <v>585475.31475456199</v>
      </c>
      <c r="K170" s="20"/>
    </row>
    <row r="171" spans="1:11" x14ac:dyDescent="0.3">
      <c r="A171" s="29" t="s">
        <v>92</v>
      </c>
      <c r="B171" s="1">
        <f>1000*526.389692249707</f>
        <v>526389.69224970695</v>
      </c>
      <c r="C171" s="1">
        <f>1000*537.181499961901</f>
        <v>537181.49996190099</v>
      </c>
      <c r="D171" s="1">
        <f>1000*553.46514941608</f>
        <v>553465.14941607998</v>
      </c>
      <c r="E171" s="1">
        <f>1000*610.05832049483</f>
        <v>610058.32049483003</v>
      </c>
      <c r="F171" s="1">
        <f>1000*723.083235195347</f>
        <v>723083.23519534699</v>
      </c>
      <c r="G171" s="1">
        <f>1000*366.912083621317</f>
        <v>366912.083621317</v>
      </c>
      <c r="H171" s="65">
        <f>1000*512.4</f>
        <v>512400</v>
      </c>
    </row>
    <row r="172" spans="1:11" ht="14.4" thickBot="1" x14ac:dyDescent="0.35">
      <c r="A172" s="25" t="s">
        <v>91</v>
      </c>
      <c r="B172" s="26">
        <f>1000*526.389692249707</f>
        <v>526389.69224970695</v>
      </c>
      <c r="C172" s="27">
        <f>1000*537.181499961901</f>
        <v>537181.49996190099</v>
      </c>
      <c r="D172" s="27">
        <f>1000*553.46514941608</f>
        <v>553465.14941607998</v>
      </c>
      <c r="E172" s="27">
        <f>1000*610.05832049483</f>
        <v>610058.32049483003</v>
      </c>
      <c r="F172" s="27">
        <f>1000*723.083235195347</f>
        <v>723083.23519534699</v>
      </c>
      <c r="G172" s="27">
        <f>1000*366.912083621317</f>
        <v>366912.083621317</v>
      </c>
      <c r="H172" s="66">
        <f>1000*512.4</f>
        <v>512400</v>
      </c>
    </row>
    <row r="174" spans="1:11" x14ac:dyDescent="0.3">
      <c r="A174" s="77" t="s">
        <v>405</v>
      </c>
      <c r="B174" s="77"/>
      <c r="C174" s="77"/>
      <c r="D174" s="77"/>
      <c r="E174" s="77"/>
      <c r="F174" s="77"/>
    </row>
    <row r="175" spans="1:11" x14ac:dyDescent="0.3">
      <c r="A175" s="77"/>
      <c r="B175" s="77"/>
      <c r="C175" s="77"/>
      <c r="D175" s="77"/>
      <c r="E175" s="77"/>
      <c r="F175" s="77"/>
    </row>
    <row r="176" spans="1:11" ht="14.4" thickBot="1" x14ac:dyDescent="0.35"/>
    <row r="177" spans="1:8" x14ac:dyDescent="0.3">
      <c r="A177" s="90" t="s">
        <v>20</v>
      </c>
      <c r="B177" s="80">
        <v>2007</v>
      </c>
      <c r="C177" s="80">
        <v>2008</v>
      </c>
      <c r="D177" s="80">
        <v>2009</v>
      </c>
      <c r="E177" s="80">
        <v>2010</v>
      </c>
      <c r="F177" s="80">
        <v>2011</v>
      </c>
      <c r="G177" s="80">
        <v>2012</v>
      </c>
      <c r="H177" s="82">
        <v>2013</v>
      </c>
    </row>
    <row r="178" spans="1:8" ht="14.4" thickBot="1" x14ac:dyDescent="0.35">
      <c r="A178" s="91"/>
      <c r="B178" s="81"/>
      <c r="C178" s="81"/>
      <c r="D178" s="81"/>
      <c r="E178" s="81"/>
      <c r="F178" s="81"/>
      <c r="G178" s="81"/>
      <c r="H178" s="83"/>
    </row>
    <row r="179" spans="1:8" x14ac:dyDescent="0.3">
      <c r="A179" s="29" t="s">
        <v>49</v>
      </c>
      <c r="B179" s="1">
        <v>112574.16908759759</v>
      </c>
      <c r="C179" s="1">
        <v>118504.96409663188</v>
      </c>
      <c r="D179" s="1">
        <v>126117.50396513584</v>
      </c>
      <c r="E179" s="1">
        <v>117043.218924819</v>
      </c>
      <c r="F179" s="1">
        <v>109918.81027859953</v>
      </c>
      <c r="G179" s="1">
        <v>111911.98632147427</v>
      </c>
      <c r="H179" s="65">
        <v>118130.75472123144</v>
      </c>
    </row>
    <row r="180" spans="1:8" x14ac:dyDescent="0.3">
      <c r="A180" s="24" t="s">
        <v>59</v>
      </c>
      <c r="B180" s="20">
        <v>11890.529348885661</v>
      </c>
      <c r="C180" s="20">
        <v>13078.211482272147</v>
      </c>
      <c r="D180" s="20">
        <v>12687.80033703494</v>
      </c>
      <c r="E180" s="20">
        <v>11703.556435235792</v>
      </c>
      <c r="F180" s="20">
        <v>12656.589618242233</v>
      </c>
      <c r="G180" s="20">
        <v>14665.268197591791</v>
      </c>
      <c r="H180" s="58">
        <v>17001.48574801183</v>
      </c>
    </row>
    <row r="181" spans="1:8" x14ac:dyDescent="0.3">
      <c r="A181" s="24" t="s">
        <v>21</v>
      </c>
      <c r="B181" s="20">
        <v>11072.39130373976</v>
      </c>
      <c r="C181" s="20">
        <v>12542.887060661789</v>
      </c>
      <c r="D181" s="20">
        <v>15722.385822091333</v>
      </c>
      <c r="E181" s="20">
        <v>14945.965062179299</v>
      </c>
      <c r="F181" s="20">
        <v>11660.294744347517</v>
      </c>
      <c r="G181" s="20">
        <v>13291.186437633309</v>
      </c>
      <c r="H181" s="58">
        <v>16746.382508648407</v>
      </c>
    </row>
    <row r="182" spans="1:8" x14ac:dyDescent="0.3">
      <c r="A182" s="24" t="s">
        <v>93</v>
      </c>
      <c r="B182" s="20">
        <v>16278.371736390642</v>
      </c>
      <c r="C182" s="20">
        <v>17356.626721215551</v>
      </c>
      <c r="D182" s="20">
        <v>15893.991385659538</v>
      </c>
      <c r="E182" s="20">
        <v>14700.948802743091</v>
      </c>
      <c r="F182" s="20">
        <v>11654.087087191516</v>
      </c>
      <c r="G182" s="20">
        <v>11089.580508397268</v>
      </c>
      <c r="H182" s="58">
        <v>10799.26210046806</v>
      </c>
    </row>
    <row r="183" spans="1:8" x14ac:dyDescent="0.3">
      <c r="A183" s="24" t="s">
        <v>94</v>
      </c>
      <c r="B183" s="20">
        <v>3407.4746368266055</v>
      </c>
      <c r="C183" s="20">
        <v>3771.6385372432774</v>
      </c>
      <c r="D183" s="20">
        <v>4035.5773852222896</v>
      </c>
      <c r="E183" s="20">
        <v>4814.5100733034114</v>
      </c>
      <c r="F183" s="20">
        <v>4888.9016510617848</v>
      </c>
      <c r="G183" s="20">
        <v>5442.8959725123732</v>
      </c>
      <c r="H183" s="58">
        <v>7015.7240719837364</v>
      </c>
    </row>
    <row r="184" spans="1:8" x14ac:dyDescent="0.3">
      <c r="A184" s="24" t="s">
        <v>84</v>
      </c>
      <c r="B184" s="20">
        <v>12972.519297669724</v>
      </c>
      <c r="C184" s="20">
        <v>13001.066039686724</v>
      </c>
      <c r="D184" s="20">
        <v>12969.65127519001</v>
      </c>
      <c r="E184" s="20">
        <v>9197.0510975256875</v>
      </c>
      <c r="F184" s="20">
        <v>6736.3284530434685</v>
      </c>
      <c r="G184" s="20">
        <v>6327.185086461267</v>
      </c>
      <c r="H184" s="58">
        <v>6087.1478992070888</v>
      </c>
    </row>
    <row r="185" spans="1:8" x14ac:dyDescent="0.3">
      <c r="A185" s="24" t="s">
        <v>95</v>
      </c>
      <c r="B185" s="20">
        <v>2762.781397394514</v>
      </c>
      <c r="C185" s="20">
        <v>3439.4986732403968</v>
      </c>
      <c r="D185" s="20">
        <v>3606.7827123226889</v>
      </c>
      <c r="E185" s="20">
        <v>4048.3493389189671</v>
      </c>
      <c r="F185" s="20">
        <v>3879.2223534036152</v>
      </c>
      <c r="G185" s="20">
        <v>4056.101144500557</v>
      </c>
      <c r="H185" s="58">
        <v>5481.874179056872</v>
      </c>
    </row>
    <row r="186" spans="1:8" x14ac:dyDescent="0.3">
      <c r="A186" s="24" t="s">
        <v>22</v>
      </c>
      <c r="B186" s="20">
        <v>4265.296001941897</v>
      </c>
      <c r="C186" s="20">
        <v>4073.2571537699814</v>
      </c>
      <c r="D186" s="20">
        <v>4370.7452652104585</v>
      </c>
      <c r="E186" s="20">
        <v>4252.4849263429314</v>
      </c>
      <c r="F186" s="20">
        <v>3624.6939822202371</v>
      </c>
      <c r="G186" s="20">
        <v>3806.5416765088007</v>
      </c>
      <c r="H186" s="58">
        <v>3592.4098612198841</v>
      </c>
    </row>
    <row r="187" spans="1:8" x14ac:dyDescent="0.3">
      <c r="A187" s="24" t="s">
        <v>63</v>
      </c>
      <c r="B187" s="20">
        <v>5369.9153232744766</v>
      </c>
      <c r="C187" s="20">
        <v>5011.4472783536312</v>
      </c>
      <c r="D187" s="20">
        <v>4898.0817840700111</v>
      </c>
      <c r="E187" s="20">
        <v>3642.8941697424088</v>
      </c>
      <c r="F187" s="20">
        <v>3649.627974862477</v>
      </c>
      <c r="G187" s="20">
        <v>2656.4855501491506</v>
      </c>
      <c r="H187" s="58">
        <v>3341.6100797940462</v>
      </c>
    </row>
    <row r="188" spans="1:8" x14ac:dyDescent="0.3">
      <c r="A188" s="24" t="s">
        <v>96</v>
      </c>
      <c r="B188" s="20">
        <v>4740.8512857675641</v>
      </c>
      <c r="C188" s="20">
        <v>4251.4721248022734</v>
      </c>
      <c r="D188" s="20">
        <v>3535.5291538600036</v>
      </c>
      <c r="E188" s="20">
        <v>3445.1631612096353</v>
      </c>
      <c r="F188" s="20">
        <v>3001.6587370365337</v>
      </c>
      <c r="G188" s="20">
        <v>3037.9987789901857</v>
      </c>
      <c r="H188" s="58">
        <v>3268.6294421087946</v>
      </c>
    </row>
    <row r="189" spans="1:8" x14ac:dyDescent="0.3">
      <c r="A189" s="24" t="s">
        <v>34</v>
      </c>
      <c r="B189" s="20">
        <v>3263.1100490939953</v>
      </c>
      <c r="C189" s="20">
        <v>2969.7001139096442</v>
      </c>
      <c r="D189" s="20">
        <v>3302.8857410396226</v>
      </c>
      <c r="E189" s="20">
        <v>3151.2677169845292</v>
      </c>
      <c r="F189" s="20">
        <v>2046.6619429580262</v>
      </c>
      <c r="G189" s="20">
        <v>2503.5383149881309</v>
      </c>
      <c r="H189" s="58">
        <v>2861.9990128515851</v>
      </c>
    </row>
    <row r="190" spans="1:8" x14ac:dyDescent="0.3">
      <c r="A190" s="24" t="s">
        <v>97</v>
      </c>
      <c r="B190" s="20">
        <v>2044.9062608508339</v>
      </c>
      <c r="C190" s="20">
        <v>2097.7306026312071</v>
      </c>
      <c r="D190" s="20">
        <v>2251.0496764683185</v>
      </c>
      <c r="E190" s="20">
        <v>2267.0916509021467</v>
      </c>
      <c r="F190" s="20">
        <v>2416.3213345790514</v>
      </c>
      <c r="G190" s="20">
        <v>2002.3808444199453</v>
      </c>
      <c r="H190" s="58">
        <v>2037.7544521497416</v>
      </c>
    </row>
    <row r="191" spans="1:8" x14ac:dyDescent="0.3">
      <c r="A191" s="24" t="s">
        <v>60</v>
      </c>
      <c r="B191" s="20">
        <v>1722.8947132164767</v>
      </c>
      <c r="C191" s="20">
        <v>1614.2584045255207</v>
      </c>
      <c r="D191" s="20">
        <v>1296.0305175285175</v>
      </c>
      <c r="E191" s="20">
        <v>1725.7770386386137</v>
      </c>
      <c r="F191" s="20">
        <v>1560.5184159627058</v>
      </c>
      <c r="G191" s="20">
        <v>1663.7169887576504</v>
      </c>
      <c r="H191" s="58">
        <v>1888.9563602148492</v>
      </c>
    </row>
    <row r="192" spans="1:8" x14ac:dyDescent="0.3">
      <c r="A192" s="24" t="s">
        <v>98</v>
      </c>
      <c r="B192" s="20">
        <v>1211.2463249591688</v>
      </c>
      <c r="C192" s="20">
        <v>1833.4062005041217</v>
      </c>
      <c r="D192" s="20">
        <v>2435.4627197816326</v>
      </c>
      <c r="E192" s="20">
        <v>2571.0439507002397</v>
      </c>
      <c r="F192" s="20">
        <v>2067.3405291343761</v>
      </c>
      <c r="G192" s="20">
        <v>2217.0622839951884</v>
      </c>
      <c r="H192" s="58">
        <v>1873.0808737553709</v>
      </c>
    </row>
    <row r="193" spans="1:8" x14ac:dyDescent="0.3">
      <c r="A193" s="24" t="s">
        <v>99</v>
      </c>
      <c r="B193" s="20">
        <v>7097.5934178358775</v>
      </c>
      <c r="C193" s="20">
        <v>4661.7306585411352</v>
      </c>
      <c r="D193" s="20">
        <v>3822.3998360639916</v>
      </c>
      <c r="E193" s="20">
        <v>2520.5179662804303</v>
      </c>
      <c r="F193" s="20">
        <v>2907.7966047702157</v>
      </c>
      <c r="G193" s="20">
        <v>2983.8563928956128</v>
      </c>
      <c r="H193" s="58">
        <v>1786.4928214494571</v>
      </c>
    </row>
    <row r="194" spans="1:8" x14ac:dyDescent="0.3">
      <c r="A194" s="24" t="s">
        <v>36</v>
      </c>
      <c r="B194" s="20">
        <v>2473.2138941794519</v>
      </c>
      <c r="C194" s="20">
        <v>1719.7257162836456</v>
      </c>
      <c r="D194" s="20">
        <v>1430.8651783073342</v>
      </c>
      <c r="E194" s="20">
        <v>1593.0226732275364</v>
      </c>
      <c r="F194" s="20">
        <v>1795.5409857487002</v>
      </c>
      <c r="G194" s="20">
        <v>1551.3483087845157</v>
      </c>
      <c r="H194" s="58">
        <v>1728.8329685059093</v>
      </c>
    </row>
    <row r="195" spans="1:8" x14ac:dyDescent="0.3">
      <c r="A195" s="24" t="s">
        <v>77</v>
      </c>
      <c r="B195" s="20">
        <v>1577.2460985866587</v>
      </c>
      <c r="C195" s="20">
        <v>1460.6260208786123</v>
      </c>
      <c r="D195" s="20">
        <v>2015.6809118880128</v>
      </c>
      <c r="E195" s="20">
        <v>2121.404936824033</v>
      </c>
      <c r="F195" s="20">
        <v>1823.2548622064137</v>
      </c>
      <c r="G195" s="20">
        <v>1525.83204648528</v>
      </c>
      <c r="H195" s="58">
        <v>1558.0168403735881</v>
      </c>
    </row>
    <row r="196" spans="1:8" x14ac:dyDescent="0.3">
      <c r="A196" s="24" t="s">
        <v>100</v>
      </c>
      <c r="B196" s="20">
        <v>1536.7280120950629</v>
      </c>
      <c r="C196" s="20">
        <v>1513.7325891215166</v>
      </c>
      <c r="D196" s="20">
        <v>1482.1859739708589</v>
      </c>
      <c r="E196" s="20">
        <v>1307.1927233503518</v>
      </c>
      <c r="F196" s="20">
        <v>1492.1755488710035</v>
      </c>
      <c r="G196" s="20">
        <v>1235.0767669353963</v>
      </c>
      <c r="H196" s="58">
        <v>1188.2787205940062</v>
      </c>
    </row>
    <row r="197" spans="1:8" x14ac:dyDescent="0.3">
      <c r="A197" s="24" t="s">
        <v>101</v>
      </c>
      <c r="B197" s="20">
        <v>1168.3580893208505</v>
      </c>
      <c r="C197" s="20">
        <v>1341.1404731606629</v>
      </c>
      <c r="D197" s="20">
        <v>1400.0656501819724</v>
      </c>
      <c r="E197" s="20">
        <v>1520.778524865289</v>
      </c>
      <c r="F197" s="20">
        <v>1377.2068856424235</v>
      </c>
      <c r="G197" s="20">
        <v>1168.6458801745198</v>
      </c>
      <c r="H197" s="58">
        <v>1051.4265898840397</v>
      </c>
    </row>
    <row r="198" spans="1:8" x14ac:dyDescent="0.3">
      <c r="A198" s="24" t="s">
        <v>102</v>
      </c>
      <c r="B198" s="20">
        <v>1203.5724656309881</v>
      </c>
      <c r="C198" s="20">
        <v>992.86220058128322</v>
      </c>
      <c r="D198" s="20">
        <v>1523.0046692022788</v>
      </c>
      <c r="E198" s="20">
        <v>1597.5147651397267</v>
      </c>
      <c r="F198" s="20">
        <v>1440.9482481301761</v>
      </c>
      <c r="G198" s="20">
        <v>1134.8151760177875</v>
      </c>
      <c r="H198" s="58">
        <v>1005.7790413599237</v>
      </c>
    </row>
    <row r="199" spans="1:8" x14ac:dyDescent="0.3">
      <c r="A199" s="24" t="s">
        <v>103</v>
      </c>
      <c r="B199" s="20">
        <v>1324.1495861250792</v>
      </c>
      <c r="C199" s="20">
        <v>1356.7376669260152</v>
      </c>
      <c r="D199" s="20">
        <v>1025.7486255610283</v>
      </c>
      <c r="E199" s="20">
        <v>920.75044988361481</v>
      </c>
      <c r="F199" s="20">
        <v>1197.3145965099011</v>
      </c>
      <c r="G199" s="20">
        <v>1513.0286741888008</v>
      </c>
      <c r="H199" s="58">
        <v>986.83362891408865</v>
      </c>
    </row>
    <row r="200" spans="1:8" ht="14.4" thickBot="1" x14ac:dyDescent="0.35">
      <c r="A200" s="25" t="s">
        <v>71</v>
      </c>
      <c r="B200" s="26">
        <v>15191.01984381229</v>
      </c>
      <c r="C200" s="27">
        <v>20417.208378322764</v>
      </c>
      <c r="D200" s="27">
        <v>26411.579344481019</v>
      </c>
      <c r="E200" s="27">
        <v>24995.933460821256</v>
      </c>
      <c r="F200" s="27">
        <v>28042.325722677131</v>
      </c>
      <c r="G200" s="27">
        <v>28039.441291086787</v>
      </c>
      <c r="H200" s="66">
        <v>26828.777520680131</v>
      </c>
    </row>
    <row r="202" spans="1:8" ht="15" customHeight="1" x14ac:dyDescent="0.3">
      <c r="A202" s="101" t="s">
        <v>406</v>
      </c>
      <c r="B202" s="101"/>
      <c r="C202" s="101"/>
      <c r="D202" s="101"/>
      <c r="E202" s="101"/>
      <c r="F202" s="101"/>
    </row>
    <row r="203" spans="1:8" x14ac:dyDescent="0.3">
      <c r="A203" s="101"/>
      <c r="B203" s="101"/>
      <c r="C203" s="101"/>
      <c r="D203" s="101"/>
      <c r="E203" s="101"/>
      <c r="F203" s="101"/>
    </row>
    <row r="204" spans="1:8" ht="14.4" thickBot="1" x14ac:dyDescent="0.35"/>
    <row r="205" spans="1:8" x14ac:dyDescent="0.3">
      <c r="A205" s="90" t="s">
        <v>20</v>
      </c>
      <c r="B205" s="80">
        <v>2007</v>
      </c>
      <c r="C205" s="80">
        <v>2008</v>
      </c>
      <c r="D205" s="80">
        <v>2009</v>
      </c>
      <c r="E205" s="80">
        <v>2010</v>
      </c>
      <c r="F205" s="80">
        <v>2011</v>
      </c>
      <c r="G205" s="80">
        <v>2012</v>
      </c>
      <c r="H205" s="82">
        <v>2013</v>
      </c>
    </row>
    <row r="206" spans="1:8" ht="14.4" thickBot="1" x14ac:dyDescent="0.35">
      <c r="A206" s="91"/>
      <c r="B206" s="81"/>
      <c r="C206" s="81"/>
      <c r="D206" s="81"/>
      <c r="E206" s="81"/>
      <c r="F206" s="81"/>
      <c r="G206" s="81"/>
      <c r="H206" s="83"/>
    </row>
    <row r="207" spans="1:8" x14ac:dyDescent="0.3">
      <c r="A207" s="29" t="s">
        <v>49</v>
      </c>
      <c r="B207" s="1">
        <v>329164.77903500007</v>
      </c>
      <c r="C207" s="1">
        <v>345109.27027199994</v>
      </c>
      <c r="D207" s="1">
        <v>302459.11291000003</v>
      </c>
      <c r="E207" s="1">
        <v>261989.60579399997</v>
      </c>
      <c r="F207" s="1">
        <v>230199.08238499996</v>
      </c>
      <c r="G207" s="1">
        <v>251099.98831700001</v>
      </c>
      <c r="H207" s="65">
        <v>266472.33039300004</v>
      </c>
    </row>
    <row r="208" spans="1:8" x14ac:dyDescent="0.3">
      <c r="A208" s="24" t="s">
        <v>104</v>
      </c>
      <c r="B208" s="20">
        <v>85552.025200000004</v>
      </c>
      <c r="C208" s="20">
        <v>91050.688554000008</v>
      </c>
      <c r="D208" s="20">
        <v>63051.155951000008</v>
      </c>
      <c r="E208" s="20">
        <v>48486.565349999997</v>
      </c>
      <c r="F208" s="20">
        <v>28967.274343999998</v>
      </c>
      <c r="G208" s="20">
        <v>32663.958731000002</v>
      </c>
      <c r="H208" s="58">
        <v>33556.559950000003</v>
      </c>
    </row>
    <row r="209" spans="1:8" x14ac:dyDescent="0.3">
      <c r="A209" s="24" t="s">
        <v>50</v>
      </c>
      <c r="B209" s="20">
        <v>17678.152056999999</v>
      </c>
      <c r="C209" s="20">
        <v>20593.939898000001</v>
      </c>
      <c r="D209" s="20">
        <v>19170.322848</v>
      </c>
      <c r="E209" s="20">
        <v>17528.528194999999</v>
      </c>
      <c r="F209" s="20">
        <v>17605.169948000002</v>
      </c>
      <c r="G209" s="20">
        <v>17779.979080000001</v>
      </c>
      <c r="H209" s="58">
        <v>29645.890820000001</v>
      </c>
    </row>
    <row r="210" spans="1:8" x14ac:dyDescent="0.3">
      <c r="A210" s="24" t="s">
        <v>52</v>
      </c>
      <c r="B210" s="20">
        <v>29215.257415000004</v>
      </c>
      <c r="C210" s="20">
        <v>26208.680150000004</v>
      </c>
      <c r="D210" s="20">
        <v>23653.858730000004</v>
      </c>
      <c r="E210" s="20">
        <v>22518.490869000001</v>
      </c>
      <c r="F210" s="20">
        <v>20420.579760000001</v>
      </c>
      <c r="G210" s="20">
        <v>24903.441964999998</v>
      </c>
      <c r="H210" s="58">
        <v>28636.952542999999</v>
      </c>
    </row>
    <row r="211" spans="1:8" x14ac:dyDescent="0.3">
      <c r="A211" s="24" t="s">
        <v>59</v>
      </c>
      <c r="B211" s="20">
        <v>13438.156429999999</v>
      </c>
      <c r="C211" s="20">
        <v>15153.265245000002</v>
      </c>
      <c r="D211" s="20">
        <v>12209.622601999999</v>
      </c>
      <c r="E211" s="20">
        <v>12687.364455999999</v>
      </c>
      <c r="F211" s="20">
        <v>12132.693448999999</v>
      </c>
      <c r="G211" s="20">
        <v>19152.240313999999</v>
      </c>
      <c r="H211" s="58">
        <v>21571.939730999999</v>
      </c>
    </row>
    <row r="212" spans="1:8" x14ac:dyDescent="0.3">
      <c r="A212" s="24" t="s">
        <v>58</v>
      </c>
      <c r="B212" s="20">
        <v>6438.9221669999988</v>
      </c>
      <c r="C212" s="20">
        <v>11559.762906</v>
      </c>
      <c r="D212" s="20">
        <v>20234.572542000002</v>
      </c>
      <c r="E212" s="20">
        <v>21555.818385999999</v>
      </c>
      <c r="F212" s="20">
        <v>16237.185759000002</v>
      </c>
      <c r="G212" s="20">
        <v>16976.193529</v>
      </c>
      <c r="H212" s="58">
        <v>17449.081898999997</v>
      </c>
    </row>
    <row r="213" spans="1:8" x14ac:dyDescent="0.3">
      <c r="A213" s="24" t="s">
        <v>105</v>
      </c>
      <c r="B213" s="20">
        <v>22015.650897</v>
      </c>
      <c r="C213" s="20">
        <v>24618.302382000002</v>
      </c>
      <c r="D213" s="20">
        <v>12355.636034000003</v>
      </c>
      <c r="E213" s="20">
        <v>18868.153088999999</v>
      </c>
      <c r="F213" s="20">
        <v>15730.643800000002</v>
      </c>
      <c r="G213" s="20">
        <v>12506.810019999999</v>
      </c>
      <c r="H213" s="58">
        <v>13275.870700000001</v>
      </c>
    </row>
    <row r="214" spans="1:8" x14ac:dyDescent="0.3">
      <c r="A214" s="24" t="s">
        <v>106</v>
      </c>
      <c r="B214" s="20">
        <v>12729.851924999999</v>
      </c>
      <c r="C214" s="20">
        <v>13834.057350000001</v>
      </c>
      <c r="D214" s="20">
        <v>12750.419327999998</v>
      </c>
      <c r="E214" s="20">
        <v>13996.20786</v>
      </c>
      <c r="F214" s="20">
        <v>11687.70882</v>
      </c>
      <c r="G214" s="20">
        <v>12176.22752</v>
      </c>
      <c r="H214" s="58">
        <v>11033.694610000002</v>
      </c>
    </row>
    <row r="215" spans="1:8" x14ac:dyDescent="0.3">
      <c r="A215" s="24" t="s">
        <v>107</v>
      </c>
      <c r="B215" s="20">
        <v>38653.1806</v>
      </c>
      <c r="C215" s="20">
        <v>31506.074400000001</v>
      </c>
      <c r="D215" s="20">
        <v>24727.323799999998</v>
      </c>
      <c r="E215" s="20">
        <v>13435.0682</v>
      </c>
      <c r="F215" s="20">
        <v>11074.4138</v>
      </c>
      <c r="G215" s="20">
        <v>13482.4372</v>
      </c>
      <c r="H215" s="58">
        <v>10801.016899999999</v>
      </c>
    </row>
    <row r="216" spans="1:8" x14ac:dyDescent="0.3">
      <c r="A216" s="24" t="s">
        <v>53</v>
      </c>
      <c r="B216" s="20">
        <v>14683.543312</v>
      </c>
      <c r="C216" s="20">
        <v>11554.942946000001</v>
      </c>
      <c r="D216" s="20">
        <v>9349.4852099999989</v>
      </c>
      <c r="E216" s="20">
        <v>10159.082129</v>
      </c>
      <c r="F216" s="20">
        <v>10209.384212999999</v>
      </c>
      <c r="G216" s="20">
        <v>9954.3953359999996</v>
      </c>
      <c r="H216" s="58">
        <v>10598.664193000001</v>
      </c>
    </row>
    <row r="217" spans="1:8" x14ac:dyDescent="0.3">
      <c r="A217" s="24" t="s">
        <v>61</v>
      </c>
      <c r="B217" s="20" t="s">
        <v>10</v>
      </c>
      <c r="C217" s="20" t="s">
        <v>10</v>
      </c>
      <c r="D217" s="20" t="s">
        <v>10</v>
      </c>
      <c r="E217" s="20" t="s">
        <v>10</v>
      </c>
      <c r="F217" s="20">
        <v>18750.846284000003</v>
      </c>
      <c r="G217" s="20">
        <v>20329.990231</v>
      </c>
      <c r="H217" s="58">
        <v>9345.921065999999</v>
      </c>
    </row>
    <row r="218" spans="1:8" x14ac:dyDescent="0.3">
      <c r="A218" s="24" t="s">
        <v>54</v>
      </c>
      <c r="B218" s="20">
        <v>12203.811000000002</v>
      </c>
      <c r="C218" s="20">
        <v>14124.4146</v>
      </c>
      <c r="D218" s="20">
        <v>15540.001499999998</v>
      </c>
      <c r="E218" s="20">
        <v>12541.648700000002</v>
      </c>
      <c r="F218" s="20">
        <v>11470.224099999999</v>
      </c>
      <c r="G218" s="20">
        <v>9549.0180999999993</v>
      </c>
      <c r="H218" s="58">
        <v>8597.3853999999992</v>
      </c>
    </row>
    <row r="219" spans="1:8" x14ac:dyDescent="0.3">
      <c r="A219" s="24" t="s">
        <v>63</v>
      </c>
      <c r="B219" s="20">
        <v>10789.866802</v>
      </c>
      <c r="C219" s="20">
        <v>10251.564592000001</v>
      </c>
      <c r="D219" s="20">
        <v>9028.4455789999993</v>
      </c>
      <c r="E219" s="20">
        <v>6146.1284479999995</v>
      </c>
      <c r="F219" s="20">
        <v>8313.2212039999995</v>
      </c>
      <c r="G219" s="20">
        <v>8102.8325609999993</v>
      </c>
      <c r="H219" s="58">
        <v>7540.1182150000004</v>
      </c>
    </row>
    <row r="220" spans="1:8" x14ac:dyDescent="0.3">
      <c r="A220" s="24" t="s">
        <v>34</v>
      </c>
      <c r="B220" s="20">
        <v>7241.6501290000006</v>
      </c>
      <c r="C220" s="20">
        <v>7924.3847150000001</v>
      </c>
      <c r="D220" s="20">
        <v>7066.808939999999</v>
      </c>
      <c r="E220" s="20">
        <v>6282.3238089999995</v>
      </c>
      <c r="F220" s="20">
        <v>4082.6974289999998</v>
      </c>
      <c r="G220" s="20">
        <v>4748.402889</v>
      </c>
      <c r="H220" s="58">
        <v>5012.2352790000004</v>
      </c>
    </row>
    <row r="221" spans="1:8" x14ac:dyDescent="0.3">
      <c r="A221" s="24" t="s">
        <v>55</v>
      </c>
      <c r="B221" s="20">
        <v>4490.7546769999999</v>
      </c>
      <c r="C221" s="20">
        <v>4264.9745309999998</v>
      </c>
      <c r="D221" s="20">
        <v>3970.8941300000001</v>
      </c>
      <c r="E221" s="20">
        <v>3832.4313419999999</v>
      </c>
      <c r="F221" s="20">
        <v>4971.0797270000003</v>
      </c>
      <c r="G221" s="20">
        <v>4493.4830529999999</v>
      </c>
      <c r="H221" s="58">
        <v>4682.7952810000006</v>
      </c>
    </row>
    <row r="222" spans="1:8" x14ac:dyDescent="0.3">
      <c r="A222" s="24" t="s">
        <v>21</v>
      </c>
      <c r="B222" s="20">
        <v>4393.9724000000006</v>
      </c>
      <c r="C222" s="20">
        <v>5733.7340999999997</v>
      </c>
      <c r="D222" s="20">
        <v>13214.185800000001</v>
      </c>
      <c r="E222" s="20">
        <v>6095.3345999999992</v>
      </c>
      <c r="F222" s="20">
        <v>2069.1911</v>
      </c>
      <c r="G222" s="20">
        <v>2831.2782999999999</v>
      </c>
      <c r="H222" s="58">
        <v>4031.7458999999994</v>
      </c>
    </row>
    <row r="223" spans="1:8" x14ac:dyDescent="0.3">
      <c r="A223" s="24" t="s">
        <v>108</v>
      </c>
      <c r="B223" s="20">
        <v>5662.1654029999991</v>
      </c>
      <c r="C223" s="20">
        <v>8014.168341999999</v>
      </c>
      <c r="D223" s="20">
        <v>11733.956967000002</v>
      </c>
      <c r="E223" s="20">
        <v>6755.8188140000002</v>
      </c>
      <c r="F223" s="20">
        <v>1363.3713419999999</v>
      </c>
      <c r="G223" s="20">
        <v>782.92434900000001</v>
      </c>
      <c r="H223" s="58">
        <v>3947.6006619999998</v>
      </c>
    </row>
    <row r="224" spans="1:8" x14ac:dyDescent="0.3">
      <c r="A224" s="24" t="s">
        <v>109</v>
      </c>
      <c r="B224" s="20">
        <v>5271.9936799999996</v>
      </c>
      <c r="C224" s="20">
        <v>4147.1726170000002</v>
      </c>
      <c r="D224" s="20">
        <v>5194.585145</v>
      </c>
      <c r="E224" s="20">
        <v>4109.344932</v>
      </c>
      <c r="F224" s="20">
        <v>4237.4477769999994</v>
      </c>
      <c r="G224" s="20">
        <v>3525.8804859999996</v>
      </c>
      <c r="H224" s="58">
        <v>3584.0776469999996</v>
      </c>
    </row>
    <row r="225" spans="1:8" x14ac:dyDescent="0.3">
      <c r="A225" s="24" t="s">
        <v>110</v>
      </c>
      <c r="B225" s="20">
        <v>2379.996087</v>
      </c>
      <c r="C225" s="20">
        <v>3051.5783680000004</v>
      </c>
      <c r="D225" s="20">
        <v>2323.7169349999995</v>
      </c>
      <c r="E225" s="20">
        <v>1788.7467160000003</v>
      </c>
      <c r="F225" s="20">
        <v>1490.1963130000001</v>
      </c>
      <c r="G225" s="20">
        <v>1992.0330639999997</v>
      </c>
      <c r="H225" s="58">
        <v>2169.754805</v>
      </c>
    </row>
    <row r="226" spans="1:8" x14ac:dyDescent="0.3">
      <c r="A226" s="24" t="s">
        <v>111</v>
      </c>
      <c r="B226" s="20">
        <v>1607.4435870000002</v>
      </c>
      <c r="C226" s="20">
        <v>2301.3466760000001</v>
      </c>
      <c r="D226" s="20">
        <v>2005.823267</v>
      </c>
      <c r="E226" s="20">
        <v>535.55033399999991</v>
      </c>
      <c r="F226" s="20">
        <v>579.52902500000005</v>
      </c>
      <c r="G226" s="20">
        <v>445.84178000000003</v>
      </c>
      <c r="H226" s="58">
        <v>476.06401499999998</v>
      </c>
    </row>
    <row r="227" spans="1:8" x14ac:dyDescent="0.3">
      <c r="A227" s="24" t="s">
        <v>67</v>
      </c>
      <c r="B227" s="20">
        <v>10538.9534</v>
      </c>
      <c r="C227" s="20">
        <v>6380.4338999999991</v>
      </c>
      <c r="D227" s="20" t="s">
        <v>10</v>
      </c>
      <c r="E227" s="20" t="s">
        <v>10</v>
      </c>
      <c r="F227" s="20" t="s">
        <v>10</v>
      </c>
      <c r="G227" s="20" t="s">
        <v>10</v>
      </c>
      <c r="H227" s="58" t="s">
        <v>10</v>
      </c>
    </row>
    <row r="228" spans="1:8" x14ac:dyDescent="0.3">
      <c r="A228" s="24" t="s">
        <v>112</v>
      </c>
      <c r="B228" s="20" t="s">
        <v>10</v>
      </c>
      <c r="C228" s="20" t="s">
        <v>10</v>
      </c>
      <c r="D228" s="20" t="s">
        <v>10</v>
      </c>
      <c r="E228" s="20" t="s">
        <v>10</v>
      </c>
      <c r="F228" s="20" t="s">
        <v>10</v>
      </c>
      <c r="G228" s="20" t="s">
        <v>10</v>
      </c>
      <c r="H228" s="58" t="s">
        <v>10</v>
      </c>
    </row>
    <row r="229" spans="1:8" x14ac:dyDescent="0.3">
      <c r="A229" s="24" t="s">
        <v>113</v>
      </c>
      <c r="B229" s="20" t="s">
        <v>10</v>
      </c>
      <c r="C229" s="20" t="s">
        <v>10</v>
      </c>
      <c r="D229" s="20" t="s">
        <v>10</v>
      </c>
      <c r="E229" s="20" t="s">
        <v>10</v>
      </c>
      <c r="F229" s="20" t="s">
        <v>10</v>
      </c>
      <c r="G229" s="20" t="s">
        <v>10</v>
      </c>
      <c r="H229" s="58" t="s">
        <v>10</v>
      </c>
    </row>
    <row r="230" spans="1:8" x14ac:dyDescent="0.3">
      <c r="A230" s="24" t="s">
        <v>68</v>
      </c>
      <c r="B230" s="20" t="s">
        <v>10</v>
      </c>
      <c r="C230" s="20" t="s">
        <v>10</v>
      </c>
      <c r="D230" s="20" t="s">
        <v>10</v>
      </c>
      <c r="E230" s="20" t="s">
        <v>10</v>
      </c>
      <c r="F230" s="20" t="s">
        <v>10</v>
      </c>
      <c r="G230" s="20" t="s">
        <v>10</v>
      </c>
      <c r="H230" s="58" t="s">
        <v>10</v>
      </c>
    </row>
    <row r="231" spans="1:8" ht="14.4" thickBot="1" x14ac:dyDescent="0.35">
      <c r="A231" s="25" t="s">
        <v>71</v>
      </c>
      <c r="B231" s="26">
        <v>24179.431866999999</v>
      </c>
      <c r="C231" s="27">
        <v>32835.783999999992</v>
      </c>
      <c r="D231" s="27">
        <v>34878.297602000013</v>
      </c>
      <c r="E231" s="27">
        <v>34666.999564999991</v>
      </c>
      <c r="F231" s="27">
        <v>28806.224190999998</v>
      </c>
      <c r="G231" s="27">
        <v>34702.619809000054</v>
      </c>
      <c r="H231" s="66">
        <v>40514.960777000058</v>
      </c>
    </row>
    <row r="233" spans="1:8" x14ac:dyDescent="0.3">
      <c r="A233" s="77" t="s">
        <v>407</v>
      </c>
      <c r="B233" s="77"/>
      <c r="C233" s="77"/>
      <c r="D233" s="77"/>
      <c r="E233" s="77"/>
      <c r="F233" s="77"/>
    </row>
    <row r="234" spans="1:8" x14ac:dyDescent="0.3">
      <c r="A234" s="77"/>
      <c r="B234" s="77"/>
      <c r="C234" s="77"/>
      <c r="D234" s="77"/>
      <c r="E234" s="77"/>
      <c r="F234" s="77"/>
    </row>
    <row r="235" spans="1:8" ht="14.4" thickBot="1" x14ac:dyDescent="0.35"/>
    <row r="236" spans="1:8" x14ac:dyDescent="0.3">
      <c r="A236" s="90" t="s">
        <v>114</v>
      </c>
      <c r="B236" s="80">
        <v>2007</v>
      </c>
      <c r="C236" s="80">
        <v>2008</v>
      </c>
      <c r="D236" s="80">
        <v>2009</v>
      </c>
      <c r="E236" s="80">
        <v>2010</v>
      </c>
      <c r="F236" s="80">
        <v>2011</v>
      </c>
      <c r="G236" s="80">
        <v>2012</v>
      </c>
      <c r="H236" s="82">
        <v>2013</v>
      </c>
    </row>
    <row r="237" spans="1:8" ht="14.4" thickBot="1" x14ac:dyDescent="0.35">
      <c r="A237" s="91"/>
      <c r="B237" s="81"/>
      <c r="C237" s="81"/>
      <c r="D237" s="81"/>
      <c r="E237" s="81"/>
      <c r="F237" s="81"/>
      <c r="G237" s="81"/>
      <c r="H237" s="83"/>
    </row>
    <row r="238" spans="1:8" x14ac:dyDescent="0.3">
      <c r="A238" s="29" t="s">
        <v>49</v>
      </c>
      <c r="B238" s="1">
        <v>1190273.6039159994</v>
      </c>
      <c r="C238" s="1">
        <v>1267866.5800789997</v>
      </c>
      <c r="D238" s="1">
        <v>1276249.2028349999</v>
      </c>
      <c r="E238" s="1">
        <v>1247184.0293919998</v>
      </c>
      <c r="F238" s="1">
        <v>1235345.0680179996</v>
      </c>
      <c r="G238" s="1">
        <v>1298762</v>
      </c>
      <c r="H238" s="65">
        <v>1375641</v>
      </c>
    </row>
    <row r="239" spans="1:8" x14ac:dyDescent="0.3">
      <c r="A239" s="24" t="s">
        <v>116</v>
      </c>
      <c r="B239" s="20">
        <v>342446.19143100001</v>
      </c>
      <c r="C239" s="20">
        <v>361202.995107</v>
      </c>
      <c r="D239" s="20">
        <v>349792.41889099998</v>
      </c>
      <c r="E239" s="20">
        <v>332279.79770500003</v>
      </c>
      <c r="F239" s="20">
        <v>353922.61948300007</v>
      </c>
      <c r="G239" s="20">
        <v>470169</v>
      </c>
      <c r="H239" s="58">
        <v>469656</v>
      </c>
    </row>
    <row r="240" spans="1:8" x14ac:dyDescent="0.3">
      <c r="A240" s="24" t="s">
        <v>117</v>
      </c>
      <c r="B240" s="20">
        <v>275050.62732500001</v>
      </c>
      <c r="C240" s="20">
        <v>325157.34727899998</v>
      </c>
      <c r="D240" s="20">
        <v>309498.08015200001</v>
      </c>
      <c r="E240" s="20">
        <v>313608.33887500002</v>
      </c>
      <c r="F240" s="20">
        <v>304387.45837999997</v>
      </c>
      <c r="G240" s="20">
        <v>280951</v>
      </c>
      <c r="H240" s="58">
        <v>262824</v>
      </c>
    </row>
    <row r="241" spans="1:8" x14ac:dyDescent="0.3">
      <c r="A241" s="24" t="s">
        <v>118</v>
      </c>
      <c r="B241" s="20">
        <v>194151.62725599998</v>
      </c>
      <c r="C241" s="20">
        <v>206442.43102399999</v>
      </c>
      <c r="D241" s="20">
        <v>197775.62018999999</v>
      </c>
      <c r="E241" s="20">
        <v>174589.298412</v>
      </c>
      <c r="F241" s="20">
        <v>152099.03499999997</v>
      </c>
      <c r="G241" s="20">
        <v>167651</v>
      </c>
      <c r="H241" s="58">
        <v>172816</v>
      </c>
    </row>
    <row r="242" spans="1:8" x14ac:dyDescent="0.3">
      <c r="A242" s="24" t="s">
        <v>119</v>
      </c>
      <c r="B242" s="20">
        <v>119540.07797500002</v>
      </c>
      <c r="C242" s="20">
        <v>110769.29227999998</v>
      </c>
      <c r="D242" s="20">
        <v>107232.511169</v>
      </c>
      <c r="E242" s="20">
        <v>93015.124211000002</v>
      </c>
      <c r="F242" s="20">
        <v>95262.400116000004</v>
      </c>
      <c r="G242" s="20">
        <v>51876</v>
      </c>
      <c r="H242" s="58">
        <v>151187</v>
      </c>
    </row>
    <row r="243" spans="1:8" x14ac:dyDescent="0.3">
      <c r="A243" s="24" t="s">
        <v>120</v>
      </c>
      <c r="B243" s="20">
        <v>172571.149359</v>
      </c>
      <c r="C243" s="20">
        <v>148295.39006999999</v>
      </c>
      <c r="D243" s="20">
        <v>161957.23972500002</v>
      </c>
      <c r="E243" s="20">
        <v>166396.33312099997</v>
      </c>
      <c r="F243" s="20">
        <v>152214.97160299995</v>
      </c>
      <c r="G243" s="20">
        <v>149379</v>
      </c>
      <c r="H243" s="58">
        <v>136135</v>
      </c>
    </row>
    <row r="244" spans="1:8" x14ac:dyDescent="0.3">
      <c r="A244" s="24" t="s">
        <v>121</v>
      </c>
      <c r="B244" s="20">
        <v>14417.508975999999</v>
      </c>
      <c r="C244" s="20">
        <v>18565.000002000001</v>
      </c>
      <c r="D244" s="20">
        <v>21089.546726999997</v>
      </c>
      <c r="E244" s="20">
        <v>29221.535363999999</v>
      </c>
      <c r="F244" s="20">
        <v>35307.008000000002</v>
      </c>
      <c r="G244" s="20">
        <v>35834</v>
      </c>
      <c r="H244" s="58">
        <v>39969</v>
      </c>
    </row>
    <row r="245" spans="1:8" x14ac:dyDescent="0.3">
      <c r="A245" s="24" t="s">
        <v>122</v>
      </c>
      <c r="B245" s="20">
        <v>2682.214986</v>
      </c>
      <c r="C245" s="20">
        <v>9757.5130439999975</v>
      </c>
      <c r="D245" s="20">
        <v>16405.380104</v>
      </c>
      <c r="E245" s="20">
        <v>19311.747191999999</v>
      </c>
      <c r="F245" s="20">
        <v>25276.165266000004</v>
      </c>
      <c r="G245" s="20">
        <v>31667</v>
      </c>
      <c r="H245" s="58">
        <v>38528</v>
      </c>
    </row>
    <row r="246" spans="1:8" x14ac:dyDescent="0.3">
      <c r="A246" s="24" t="s">
        <v>123</v>
      </c>
      <c r="B246" s="20">
        <v>71.315821999999997</v>
      </c>
      <c r="C246" s="20">
        <v>7707.4336520000015</v>
      </c>
      <c r="D246" s="20">
        <v>38643.612430000001</v>
      </c>
      <c r="E246" s="20">
        <v>43657.058119999994</v>
      </c>
      <c r="F246" s="20">
        <v>40369.976094999998</v>
      </c>
      <c r="G246" s="20">
        <v>38389</v>
      </c>
      <c r="H246" s="58">
        <v>32181</v>
      </c>
    </row>
    <row r="247" spans="1:8" x14ac:dyDescent="0.3">
      <c r="A247" s="24" t="s">
        <v>124</v>
      </c>
      <c r="B247" s="20">
        <v>33252.971369000006</v>
      </c>
      <c r="C247" s="20">
        <v>40513.746257000006</v>
      </c>
      <c r="D247" s="20">
        <v>36308.829919000003</v>
      </c>
      <c r="E247" s="20">
        <v>35306.930365</v>
      </c>
      <c r="F247" s="20">
        <v>39368.459580999996</v>
      </c>
      <c r="G247" s="20">
        <v>33041</v>
      </c>
      <c r="H247" s="58">
        <v>30882</v>
      </c>
    </row>
    <row r="248" spans="1:8" x14ac:dyDescent="0.3">
      <c r="A248" s="24" t="s">
        <v>125</v>
      </c>
      <c r="B248" s="20">
        <v>19495.115730999998</v>
      </c>
      <c r="C248" s="20">
        <v>21547.145693999995</v>
      </c>
      <c r="D248" s="20">
        <v>19612.152270999999</v>
      </c>
      <c r="E248" s="20">
        <v>20421.447925000004</v>
      </c>
      <c r="F248" s="20">
        <v>20682.304787000001</v>
      </c>
      <c r="G248" s="20">
        <v>20642</v>
      </c>
      <c r="H248" s="58">
        <v>20276</v>
      </c>
    </row>
    <row r="249" spans="1:8" x14ac:dyDescent="0.3">
      <c r="A249" s="24" t="s">
        <v>126</v>
      </c>
      <c r="B249" s="20">
        <v>8691.4676980000004</v>
      </c>
      <c r="C249" s="20">
        <v>9660.2795490000008</v>
      </c>
      <c r="D249" s="20">
        <v>11685.849767</v>
      </c>
      <c r="E249" s="20">
        <v>13299.046291000001</v>
      </c>
      <c r="F249" s="20">
        <v>8852.505723000002</v>
      </c>
      <c r="G249" s="20">
        <v>11310</v>
      </c>
      <c r="H249" s="58">
        <v>12530</v>
      </c>
    </row>
    <row r="250" spans="1:8" x14ac:dyDescent="0.3">
      <c r="A250" s="24" t="s">
        <v>127</v>
      </c>
      <c r="B250" s="20">
        <v>3434.3309580000005</v>
      </c>
      <c r="C250" s="20">
        <v>2901.8035310000005</v>
      </c>
      <c r="D250" s="20">
        <v>2917.2226299999998</v>
      </c>
      <c r="E250" s="20">
        <v>3593.1211490000001</v>
      </c>
      <c r="F250" s="20">
        <v>3737.4792280000006</v>
      </c>
      <c r="G250" s="20">
        <v>3955</v>
      </c>
      <c r="H250" s="58">
        <v>3332</v>
      </c>
    </row>
    <row r="251" spans="1:8" x14ac:dyDescent="0.3">
      <c r="A251" s="24" t="s">
        <v>128</v>
      </c>
      <c r="B251" s="20">
        <v>1830.4414080000001</v>
      </c>
      <c r="C251" s="20">
        <v>2299.2437770000001</v>
      </c>
      <c r="D251" s="20">
        <v>445.33455600000002</v>
      </c>
      <c r="E251" s="20">
        <v>21.052800000000001</v>
      </c>
      <c r="F251" s="20">
        <v>2061.5851819999998</v>
      </c>
      <c r="G251" s="20">
        <v>2175</v>
      </c>
      <c r="H251" s="58">
        <v>2943</v>
      </c>
    </row>
    <row r="252" spans="1:8" x14ac:dyDescent="0.3">
      <c r="A252" s="24" t="s">
        <v>129</v>
      </c>
      <c r="B252" s="20">
        <v>2115.2014679999997</v>
      </c>
      <c r="C252" s="20">
        <v>2598.66689</v>
      </c>
      <c r="D252" s="20">
        <v>2091.0709830000001</v>
      </c>
      <c r="E252" s="20">
        <v>1787.9669779999999</v>
      </c>
      <c r="F252" s="20">
        <v>1382.0923719999998</v>
      </c>
      <c r="G252" s="20">
        <v>1258</v>
      </c>
      <c r="H252" s="58">
        <v>1817</v>
      </c>
    </row>
    <row r="253" spans="1:8" ht="14.4" thickBot="1" x14ac:dyDescent="0.35">
      <c r="A253" s="25" t="s">
        <v>130</v>
      </c>
      <c r="B253" s="26">
        <v>523.36215399999992</v>
      </c>
      <c r="C253" s="27">
        <v>448.291923</v>
      </c>
      <c r="D253" s="27">
        <v>794.33332100000007</v>
      </c>
      <c r="E253" s="27">
        <v>675.23088400000006</v>
      </c>
      <c r="F253" s="27">
        <v>421.00720200000001</v>
      </c>
      <c r="G253" s="27">
        <v>465</v>
      </c>
      <c r="H253" s="66">
        <v>565</v>
      </c>
    </row>
    <row r="255" spans="1:8" x14ac:dyDescent="0.3">
      <c r="A255" s="77" t="s">
        <v>408</v>
      </c>
      <c r="B255" s="77"/>
      <c r="C255" s="77"/>
      <c r="D255" s="77"/>
      <c r="E255" s="77"/>
      <c r="F255" s="77"/>
    </row>
    <row r="256" spans="1:8" x14ac:dyDescent="0.3">
      <c r="A256" s="77"/>
      <c r="B256" s="77"/>
      <c r="C256" s="77"/>
      <c r="D256" s="77"/>
      <c r="E256" s="77"/>
      <c r="F256" s="77"/>
    </row>
    <row r="257" spans="1:8" ht="14.4" thickBot="1" x14ac:dyDescent="0.35"/>
    <row r="258" spans="1:8" x14ac:dyDescent="0.3">
      <c r="A258" s="90" t="s">
        <v>114</v>
      </c>
      <c r="B258" s="80">
        <v>2007</v>
      </c>
      <c r="C258" s="80">
        <v>2008</v>
      </c>
      <c r="D258" s="80">
        <v>2009</v>
      </c>
      <c r="E258" s="80">
        <v>2010</v>
      </c>
      <c r="F258" s="80">
        <v>2011</v>
      </c>
      <c r="G258" s="80">
        <v>2012</v>
      </c>
      <c r="H258" s="82">
        <v>2013</v>
      </c>
    </row>
    <row r="259" spans="1:8" ht="14.4" thickBot="1" x14ac:dyDescent="0.35">
      <c r="A259" s="91"/>
      <c r="B259" s="81"/>
      <c r="C259" s="81"/>
      <c r="D259" s="81"/>
      <c r="E259" s="81"/>
      <c r="F259" s="81"/>
      <c r="G259" s="81"/>
      <c r="H259" s="83"/>
    </row>
    <row r="260" spans="1:8" x14ac:dyDescent="0.3">
      <c r="A260" s="29" t="s">
        <v>49</v>
      </c>
      <c r="B260" s="1">
        <v>1444361.4378259999</v>
      </c>
      <c r="C260" s="1">
        <v>1602597.0080210001</v>
      </c>
      <c r="D260" s="1">
        <v>1512931.0674320001</v>
      </c>
      <c r="E260" s="1">
        <v>1470449.7064990001</v>
      </c>
      <c r="F260" s="1">
        <v>1256382.6002109998</v>
      </c>
      <c r="G260" s="1">
        <v>1281282.4314850003</v>
      </c>
      <c r="H260" s="65">
        <v>1351273.497094</v>
      </c>
    </row>
    <row r="261" spans="1:8" x14ac:dyDescent="0.3">
      <c r="A261" s="31" t="s">
        <v>116</v>
      </c>
      <c r="B261" s="20">
        <v>391299.13607899996</v>
      </c>
      <c r="C261" s="20">
        <v>460367.20389700006</v>
      </c>
      <c r="D261" s="20">
        <v>557012.9363820001</v>
      </c>
      <c r="E261" s="20">
        <v>483198.48579799995</v>
      </c>
      <c r="F261" s="20">
        <v>325278.25747700001</v>
      </c>
      <c r="G261" s="20">
        <v>330956.98845100007</v>
      </c>
      <c r="H261" s="58">
        <v>378977.85729999997</v>
      </c>
    </row>
    <row r="262" spans="1:8" x14ac:dyDescent="0.3">
      <c r="A262" s="31" t="s">
        <v>121</v>
      </c>
      <c r="B262" s="20">
        <v>460839.22298199998</v>
      </c>
      <c r="C262" s="20">
        <v>447544.81375800003</v>
      </c>
      <c r="D262" s="20">
        <v>424748.61362900003</v>
      </c>
      <c r="E262" s="20">
        <v>378925.97699699999</v>
      </c>
      <c r="F262" s="20">
        <v>325301.46181800001</v>
      </c>
      <c r="G262" s="20">
        <v>325421.75930600002</v>
      </c>
      <c r="H262" s="58">
        <v>285135.364</v>
      </c>
    </row>
    <row r="263" spans="1:8" x14ac:dyDescent="0.3">
      <c r="A263" s="31" t="s">
        <v>126</v>
      </c>
      <c r="B263" s="20">
        <v>209639.87027800002</v>
      </c>
      <c r="C263" s="20">
        <v>247319.79631700003</v>
      </c>
      <c r="D263" s="20">
        <v>250593.85903700002</v>
      </c>
      <c r="E263" s="20">
        <v>258696.94064499997</v>
      </c>
      <c r="F263" s="20">
        <v>199445.60643300001</v>
      </c>
      <c r="G263" s="20">
        <v>247387.33715400001</v>
      </c>
      <c r="H263" s="58">
        <v>245157.59729999999</v>
      </c>
    </row>
    <row r="264" spans="1:8" x14ac:dyDescent="0.3">
      <c r="A264" s="31" t="s">
        <v>124</v>
      </c>
      <c r="B264" s="20">
        <v>285384.40219200001</v>
      </c>
      <c r="C264" s="20">
        <v>285227.06510700006</v>
      </c>
      <c r="D264" s="20">
        <v>110450.63509699999</v>
      </c>
      <c r="E264" s="20">
        <v>187566.17926899999</v>
      </c>
      <c r="F264" s="20">
        <v>238737.35257499997</v>
      </c>
      <c r="G264" s="20">
        <v>175427.07535100001</v>
      </c>
      <c r="H264" s="58">
        <v>177441.96599999999</v>
      </c>
    </row>
    <row r="265" spans="1:8" x14ac:dyDescent="0.3">
      <c r="A265" s="31" t="s">
        <v>122</v>
      </c>
      <c r="B265" s="20">
        <v>23850.600502999998</v>
      </c>
      <c r="C265" s="20">
        <v>78271.649516999998</v>
      </c>
      <c r="D265" s="20">
        <v>81378.670339000004</v>
      </c>
      <c r="E265" s="20">
        <v>77310.981784999996</v>
      </c>
      <c r="F265" s="20">
        <v>96156.637574999986</v>
      </c>
      <c r="G265" s="20">
        <v>114037.53564</v>
      </c>
      <c r="H265" s="58">
        <v>161740.3958</v>
      </c>
    </row>
    <row r="266" spans="1:8" x14ac:dyDescent="0.3">
      <c r="A266" s="31" t="s">
        <v>130</v>
      </c>
      <c r="B266" s="20">
        <v>20309.265576999998</v>
      </c>
      <c r="C266" s="20">
        <v>21492.938180000001</v>
      </c>
      <c r="D266" s="20">
        <v>24764.007209999996</v>
      </c>
      <c r="E266" s="20">
        <v>24613.381139000001</v>
      </c>
      <c r="F266" s="20">
        <v>22072.792429000001</v>
      </c>
      <c r="G266" s="20">
        <v>38669.826254</v>
      </c>
      <c r="H266" s="58">
        <v>42732.34059</v>
      </c>
    </row>
    <row r="267" spans="1:8" x14ac:dyDescent="0.3">
      <c r="A267" s="31" t="s">
        <v>127</v>
      </c>
      <c r="B267" s="20">
        <v>21266.143394999999</v>
      </c>
      <c r="C267" s="20">
        <v>24037.572257</v>
      </c>
      <c r="D267" s="20">
        <v>18658.501532999999</v>
      </c>
      <c r="E267" s="20">
        <v>22770.286364</v>
      </c>
      <c r="F267" s="20">
        <v>20594.471263999996</v>
      </c>
      <c r="G267" s="20">
        <v>20767.337598999999</v>
      </c>
      <c r="H267" s="58">
        <v>23870.304619999999</v>
      </c>
    </row>
    <row r="268" spans="1:8" x14ac:dyDescent="0.3">
      <c r="A268" s="31" t="s">
        <v>117</v>
      </c>
      <c r="B268" s="20">
        <v>8008.4490059999998</v>
      </c>
      <c r="C268" s="20">
        <v>12871.927072</v>
      </c>
      <c r="D268" s="20">
        <v>17233.660146000002</v>
      </c>
      <c r="E268" s="20">
        <v>15700.976477000002</v>
      </c>
      <c r="F268" s="20">
        <v>12858.616667999999</v>
      </c>
      <c r="G268" s="20">
        <v>12883.879600999999</v>
      </c>
      <c r="H268" s="58">
        <v>16608.184600000001</v>
      </c>
    </row>
    <row r="269" spans="1:8" x14ac:dyDescent="0.3">
      <c r="A269" s="31" t="s">
        <v>125</v>
      </c>
      <c r="B269" s="20">
        <v>11351.988305999999</v>
      </c>
      <c r="C269" s="20">
        <v>13738.046893999999</v>
      </c>
      <c r="D269" s="20">
        <v>14295.378319000001</v>
      </c>
      <c r="E269" s="20">
        <v>8475.7045909999997</v>
      </c>
      <c r="F269" s="20">
        <v>5137.1995560000005</v>
      </c>
      <c r="G269" s="20">
        <v>6274.4436530000003</v>
      </c>
      <c r="H269" s="58">
        <v>10322.6875</v>
      </c>
    </row>
    <row r="270" spans="1:8" x14ac:dyDescent="0.3">
      <c r="A270" s="31" t="s">
        <v>129</v>
      </c>
      <c r="B270" s="20">
        <v>8005.9647589999995</v>
      </c>
      <c r="C270" s="20">
        <v>9218.5737439999994</v>
      </c>
      <c r="D270" s="20">
        <v>11754.045760999999</v>
      </c>
      <c r="E270" s="20">
        <v>10759.150903</v>
      </c>
      <c r="F270" s="20">
        <v>8326.8282500000005</v>
      </c>
      <c r="G270" s="20">
        <v>7042.3605749999997</v>
      </c>
      <c r="H270" s="58">
        <v>6410.9425259999998</v>
      </c>
    </row>
    <row r="271" spans="1:8" x14ac:dyDescent="0.3">
      <c r="A271" s="31" t="s">
        <v>128</v>
      </c>
      <c r="B271" s="20">
        <v>4406.394749000001</v>
      </c>
      <c r="C271" s="20">
        <v>2507.4212779999998</v>
      </c>
      <c r="D271" s="20">
        <v>2040.7599789999999</v>
      </c>
      <c r="E271" s="20">
        <v>2431.642531</v>
      </c>
      <c r="F271" s="20">
        <v>2472.0246860000002</v>
      </c>
      <c r="G271" s="20">
        <v>2404.748744</v>
      </c>
      <c r="H271" s="58">
        <v>2631.3706149999998</v>
      </c>
    </row>
    <row r="272" spans="1:8" x14ac:dyDescent="0.3">
      <c r="A272" s="31" t="s">
        <v>131</v>
      </c>
      <c r="B272" s="20" t="s">
        <v>10</v>
      </c>
      <c r="C272" s="20" t="s">
        <v>10</v>
      </c>
      <c r="D272" s="20" t="s">
        <v>10</v>
      </c>
      <c r="E272" s="20" t="s">
        <v>10</v>
      </c>
      <c r="F272" s="20">
        <v>1.35148</v>
      </c>
      <c r="G272" s="20">
        <v>9.1391570000000009</v>
      </c>
      <c r="H272" s="58">
        <v>244.486243</v>
      </c>
    </row>
    <row r="273" spans="1:11" ht="14.4" thickBot="1" x14ac:dyDescent="0.35">
      <c r="A273" s="32" t="s">
        <v>123</v>
      </c>
      <c r="B273" s="26" t="s">
        <v>10</v>
      </c>
      <c r="C273" s="27" t="s">
        <v>10</v>
      </c>
      <c r="D273" s="27" t="s">
        <v>10</v>
      </c>
      <c r="E273" s="27" t="s">
        <v>10</v>
      </c>
      <c r="F273" s="27" t="s">
        <v>10</v>
      </c>
      <c r="G273" s="27" t="s">
        <v>10</v>
      </c>
      <c r="H273" s="66" t="s">
        <v>10</v>
      </c>
    </row>
    <row r="275" spans="1:11" x14ac:dyDescent="0.3">
      <c r="A275" s="77" t="s">
        <v>409</v>
      </c>
      <c r="B275" s="77"/>
      <c r="C275" s="77"/>
      <c r="D275" s="77"/>
      <c r="E275" s="77"/>
      <c r="F275" s="77"/>
    </row>
    <row r="276" spans="1:11" x14ac:dyDescent="0.3">
      <c r="A276" s="77"/>
      <c r="B276" s="77"/>
      <c r="C276" s="77"/>
      <c r="D276" s="77"/>
      <c r="E276" s="77"/>
      <c r="F276" s="77"/>
    </row>
    <row r="277" spans="1:11" ht="14.4" thickBot="1" x14ac:dyDescent="0.35"/>
    <row r="278" spans="1:11" x14ac:dyDescent="0.3">
      <c r="A278" s="90" t="s">
        <v>114</v>
      </c>
      <c r="B278" s="80">
        <v>2007</v>
      </c>
      <c r="C278" s="80">
        <v>2008</v>
      </c>
      <c r="D278" s="80">
        <v>2009</v>
      </c>
      <c r="E278" s="80">
        <v>2010</v>
      </c>
      <c r="F278" s="80">
        <v>2011</v>
      </c>
      <c r="G278" s="80">
        <v>2012</v>
      </c>
      <c r="H278" s="82">
        <v>2013</v>
      </c>
    </row>
    <row r="279" spans="1:11" ht="14.4" thickBot="1" x14ac:dyDescent="0.35">
      <c r="A279" s="91"/>
      <c r="B279" s="81"/>
      <c r="C279" s="81"/>
      <c r="D279" s="81"/>
      <c r="E279" s="81"/>
      <c r="F279" s="81"/>
      <c r="G279" s="81"/>
      <c r="H279" s="83"/>
    </row>
    <row r="280" spans="1:11" x14ac:dyDescent="0.3">
      <c r="A280" s="29" t="s">
        <v>49</v>
      </c>
      <c r="B280" s="1">
        <v>5473188.4571369542</v>
      </c>
      <c r="C280" s="1">
        <v>5782947.0863696793</v>
      </c>
      <c r="D280" s="1">
        <v>5915543.2653384823</v>
      </c>
      <c r="E280" s="1">
        <v>5275414.7076617815</v>
      </c>
      <c r="F280" s="1">
        <v>5343005.8572529545</v>
      </c>
      <c r="G280" s="1">
        <v>5193761.0486624064</v>
      </c>
      <c r="H280" s="65">
        <v>4870371.0181458099</v>
      </c>
      <c r="K280" s="20"/>
    </row>
    <row r="281" spans="1:11" x14ac:dyDescent="0.3">
      <c r="A281" s="24" t="s">
        <v>123</v>
      </c>
      <c r="B281" s="20">
        <v>1566953.8357324235</v>
      </c>
      <c r="C281" s="20">
        <v>1844368.3983144392</v>
      </c>
      <c r="D281" s="20">
        <v>2202231.6449422576</v>
      </c>
      <c r="E281" s="20">
        <v>1661132.2740963746</v>
      </c>
      <c r="F281" s="20">
        <v>1640665.3957849252</v>
      </c>
      <c r="G281" s="20">
        <v>1681018.6738613858</v>
      </c>
      <c r="H281" s="58">
        <v>1464349.496521303</v>
      </c>
      <c r="K281" s="20"/>
    </row>
    <row r="282" spans="1:11" x14ac:dyDescent="0.3">
      <c r="A282" s="24" t="s">
        <v>129</v>
      </c>
      <c r="B282" s="20">
        <v>1735425.7741535385</v>
      </c>
      <c r="C282" s="20">
        <v>1837630.1612876966</v>
      </c>
      <c r="D282" s="20">
        <v>1693834.9174422252</v>
      </c>
      <c r="E282" s="20">
        <v>1545336.0680304209</v>
      </c>
      <c r="F282" s="20">
        <v>1509440.8979754113</v>
      </c>
      <c r="G282" s="20">
        <v>1775658.4262437788</v>
      </c>
      <c r="H282" s="58">
        <v>1530793.7344873261</v>
      </c>
      <c r="K282" s="20"/>
    </row>
    <row r="283" spans="1:11" x14ac:dyDescent="0.3">
      <c r="A283" s="24" t="s">
        <v>91</v>
      </c>
      <c r="B283" s="20">
        <v>529391.26800071367</v>
      </c>
      <c r="C283" s="20">
        <v>539641.32958233159</v>
      </c>
      <c r="D283" s="20">
        <v>557748.43730661389</v>
      </c>
      <c r="E283" s="20">
        <v>614232.52763657586</v>
      </c>
      <c r="F283" s="20">
        <v>559472.87253642676</v>
      </c>
      <c r="G283" s="20">
        <v>533506.96431776369</v>
      </c>
      <c r="H283" s="58">
        <v>516847.69608662656</v>
      </c>
      <c r="K283" s="20"/>
    </row>
    <row r="284" spans="1:11" x14ac:dyDescent="0.3">
      <c r="A284" s="24" t="s">
        <v>117</v>
      </c>
      <c r="B284" s="20">
        <v>566586.62345082243</v>
      </c>
      <c r="C284" s="20">
        <v>519221.50622702838</v>
      </c>
      <c r="D284" s="20">
        <v>546472.10849396873</v>
      </c>
      <c r="E284" s="20">
        <v>561921.54920321109</v>
      </c>
      <c r="F284" s="20">
        <v>727710.67484333017</v>
      </c>
      <c r="G284" s="20">
        <v>394540.73421761446</v>
      </c>
      <c r="H284" s="58">
        <v>405104.55381370644</v>
      </c>
      <c r="K284" s="20"/>
    </row>
    <row r="285" spans="1:11" x14ac:dyDescent="0.3">
      <c r="A285" s="24" t="s">
        <v>130</v>
      </c>
      <c r="B285" s="20">
        <v>97789.154650233424</v>
      </c>
      <c r="C285" s="20">
        <v>139119.05626187965</v>
      </c>
      <c r="D285" s="20">
        <v>151211.1752536362</v>
      </c>
      <c r="E285" s="20">
        <v>172895.91280420916</v>
      </c>
      <c r="F285" s="20">
        <v>203948.04067779938</v>
      </c>
      <c r="G285" s="20">
        <v>210739.07435650539</v>
      </c>
      <c r="H285" s="58">
        <v>323014.60281125014</v>
      </c>
      <c r="K285" s="20"/>
    </row>
    <row r="286" spans="1:11" x14ac:dyDescent="0.3">
      <c r="A286" s="24" t="s">
        <v>118</v>
      </c>
      <c r="B286" s="20">
        <v>169584.91387170614</v>
      </c>
      <c r="C286" s="20">
        <v>152974.1942572564</v>
      </c>
      <c r="D286" s="20">
        <v>176008.48687714603</v>
      </c>
      <c r="E286" s="20">
        <v>213067.23497524401</v>
      </c>
      <c r="F286" s="20">
        <v>192020.03613478827</v>
      </c>
      <c r="G286" s="20">
        <v>182966.26600168471</v>
      </c>
      <c r="H286" s="58">
        <v>163296.1457837678</v>
      </c>
      <c r="K286" s="20"/>
    </row>
    <row r="287" spans="1:11" x14ac:dyDescent="0.3">
      <c r="A287" s="24" t="s">
        <v>128</v>
      </c>
      <c r="B287" s="20">
        <v>70019.854688331892</v>
      </c>
      <c r="C287" s="20">
        <v>105665.36328302832</v>
      </c>
      <c r="D287" s="20">
        <v>107454.14947173318</v>
      </c>
      <c r="E287" s="20">
        <v>90106.506016345389</v>
      </c>
      <c r="F287" s="20">
        <v>107624.70309070332</v>
      </c>
      <c r="G287" s="20">
        <v>124709.81389491892</v>
      </c>
      <c r="H287" s="58">
        <v>144773.53103820779</v>
      </c>
      <c r="K287" s="20"/>
    </row>
    <row r="288" spans="1:11" x14ac:dyDescent="0.3">
      <c r="A288" s="24" t="s">
        <v>131</v>
      </c>
      <c r="B288" s="20">
        <v>38791.203012802383</v>
      </c>
      <c r="C288" s="20">
        <v>36644.321879139396</v>
      </c>
      <c r="D288" s="20">
        <v>37539.139596381123</v>
      </c>
      <c r="E288" s="20">
        <v>75625.410050701525</v>
      </c>
      <c r="F288" s="20">
        <v>157802.0215201134</v>
      </c>
      <c r="G288" s="20">
        <v>113348.68691100065</v>
      </c>
      <c r="H288" s="58">
        <v>119400.77675896038</v>
      </c>
      <c r="K288" s="20"/>
    </row>
    <row r="289" spans="1:11" x14ac:dyDescent="0.3">
      <c r="A289" s="24" t="s">
        <v>116</v>
      </c>
      <c r="B289" s="20">
        <v>522470.49746084056</v>
      </c>
      <c r="C289" s="20">
        <v>403997.88360588491</v>
      </c>
      <c r="D289" s="20">
        <v>276128.4594690004</v>
      </c>
      <c r="E289" s="20">
        <v>197643.34937833561</v>
      </c>
      <c r="F289" s="20">
        <v>96697.906664405426</v>
      </c>
      <c r="G289" s="20">
        <v>81187.5713519657</v>
      </c>
      <c r="H289" s="58">
        <v>96899.362131714661</v>
      </c>
      <c r="K289" s="20"/>
    </row>
    <row r="290" spans="1:11" x14ac:dyDescent="0.3">
      <c r="A290" s="24" t="s">
        <v>124</v>
      </c>
      <c r="B290" s="20">
        <v>17278.630013889066</v>
      </c>
      <c r="C290" s="20">
        <v>21548.828623053279</v>
      </c>
      <c r="D290" s="20">
        <v>18660.539230185572</v>
      </c>
      <c r="E290" s="20">
        <v>18380.246572743992</v>
      </c>
      <c r="F290" s="20">
        <v>38147.734661132476</v>
      </c>
      <c r="G290" s="20">
        <v>2363.9115850255275</v>
      </c>
      <c r="H290" s="58">
        <v>41710.509394410939</v>
      </c>
      <c r="K290" s="20"/>
    </row>
    <row r="291" spans="1:11" x14ac:dyDescent="0.3">
      <c r="A291" s="24" t="s">
        <v>121</v>
      </c>
      <c r="B291" s="20">
        <v>49510.592102489754</v>
      </c>
      <c r="C291" s="20">
        <v>67665.383423140724</v>
      </c>
      <c r="D291" s="20">
        <v>69333.810705577474</v>
      </c>
      <c r="E291" s="20">
        <v>45066.582186242107</v>
      </c>
      <c r="F291" s="20">
        <v>48396.797701745127</v>
      </c>
      <c r="G291" s="20">
        <v>43806.290167311818</v>
      </c>
      <c r="H291" s="58">
        <v>29091.101994624416</v>
      </c>
      <c r="K291" s="20"/>
    </row>
    <row r="292" spans="1:11" x14ac:dyDescent="0.3">
      <c r="A292" s="24" t="s">
        <v>120</v>
      </c>
      <c r="B292" s="20">
        <v>2404.8257846680131</v>
      </c>
      <c r="C292" s="20">
        <v>2021.135974613871</v>
      </c>
      <c r="D292" s="20">
        <v>3063.9188454069622</v>
      </c>
      <c r="E292" s="20">
        <v>3012.4985757275681</v>
      </c>
      <c r="F292" s="20">
        <v>2800.1751887241348</v>
      </c>
      <c r="G292" s="20">
        <v>14994.982757044199</v>
      </c>
      <c r="H292" s="58">
        <v>21671.735747630501</v>
      </c>
      <c r="K292" s="20"/>
    </row>
    <row r="293" spans="1:11" x14ac:dyDescent="0.3">
      <c r="A293" s="24" t="s">
        <v>122</v>
      </c>
      <c r="B293" s="20" t="s">
        <v>10</v>
      </c>
      <c r="C293" s="20" t="s">
        <v>10</v>
      </c>
      <c r="D293" s="20">
        <v>38.276324927018095</v>
      </c>
      <c r="E293" s="20">
        <v>54.553299296544445</v>
      </c>
      <c r="F293" s="20">
        <v>83.804006610167306</v>
      </c>
      <c r="G293" s="20">
        <v>3.8580743065111428E-5</v>
      </c>
      <c r="H293" s="58">
        <v>6720.1224295579932</v>
      </c>
      <c r="K293" s="20"/>
    </row>
    <row r="294" spans="1:11" x14ac:dyDescent="0.3">
      <c r="A294" s="24" t="s">
        <v>125</v>
      </c>
      <c r="B294" s="20">
        <v>76824.737569734687</v>
      </c>
      <c r="C294" s="20">
        <v>50080.235449401356</v>
      </c>
      <c r="D294" s="20">
        <v>38846.717282501064</v>
      </c>
      <c r="E294" s="20">
        <v>43700.360056970894</v>
      </c>
      <c r="F294" s="20">
        <v>33646.553599519029</v>
      </c>
      <c r="G294" s="20">
        <v>389.07641334122093</v>
      </c>
      <c r="H294" s="58">
        <v>6697.6169961033447</v>
      </c>
      <c r="K294" s="20"/>
    </row>
    <row r="295" spans="1:11" x14ac:dyDescent="0.3">
      <c r="A295" s="24" t="s">
        <v>126</v>
      </c>
      <c r="B295" s="20" t="s">
        <v>10</v>
      </c>
      <c r="C295" s="20">
        <v>50416.515394423797</v>
      </c>
      <c r="D295" s="20">
        <v>33931.820884302782</v>
      </c>
      <c r="E295" s="20">
        <v>33239.634779382446</v>
      </c>
      <c r="F295" s="20">
        <v>24548.242867320823</v>
      </c>
      <c r="G295" s="20">
        <v>34530.576544483592</v>
      </c>
      <c r="H295" s="58">
        <v>3.2150619220926192E-2</v>
      </c>
      <c r="K295" s="20"/>
    </row>
    <row r="296" spans="1:11" ht="14.4" thickBot="1" x14ac:dyDescent="0.35">
      <c r="A296" s="25" t="s">
        <v>132</v>
      </c>
      <c r="B296" s="27">
        <v>30156.546644761376</v>
      </c>
      <c r="C296" s="27">
        <v>11952.772806363249</v>
      </c>
      <c r="D296" s="27">
        <v>3039.6632126184745</v>
      </c>
      <c r="E296" s="27" t="s">
        <v>10</v>
      </c>
      <c r="F296" s="27" t="s">
        <v>10</v>
      </c>
      <c r="G296" s="27" t="s">
        <v>10</v>
      </c>
      <c r="H296" s="66" t="s">
        <v>10</v>
      </c>
      <c r="K296" s="20"/>
    </row>
    <row r="298" spans="1:11" x14ac:dyDescent="0.3">
      <c r="A298" s="77" t="s">
        <v>410</v>
      </c>
      <c r="B298" s="77"/>
      <c r="C298" s="77"/>
      <c r="D298" s="77"/>
      <c r="E298" s="77"/>
      <c r="F298" s="77"/>
    </row>
    <row r="299" spans="1:11" x14ac:dyDescent="0.3">
      <c r="A299" s="77"/>
      <c r="B299" s="77"/>
      <c r="C299" s="77"/>
      <c r="D299" s="77"/>
      <c r="E299" s="77"/>
      <c r="F299" s="77"/>
    </row>
    <row r="300" spans="1:11" ht="14.4" thickBot="1" x14ac:dyDescent="0.35"/>
    <row r="301" spans="1:11" x14ac:dyDescent="0.3">
      <c r="A301" s="90" t="s">
        <v>114</v>
      </c>
      <c r="B301" s="80">
        <v>2007</v>
      </c>
      <c r="C301" s="80">
        <v>2008</v>
      </c>
      <c r="D301" s="80">
        <v>2009</v>
      </c>
      <c r="E301" s="80">
        <v>2010</v>
      </c>
      <c r="F301" s="80">
        <v>2011</v>
      </c>
      <c r="G301" s="80">
        <v>2012</v>
      </c>
      <c r="H301" s="82">
        <v>2013</v>
      </c>
    </row>
    <row r="302" spans="1:11" ht="14.4" thickBot="1" x14ac:dyDescent="0.35">
      <c r="A302" s="91"/>
      <c r="B302" s="81"/>
      <c r="C302" s="81"/>
      <c r="D302" s="81"/>
      <c r="E302" s="81"/>
      <c r="F302" s="81"/>
      <c r="G302" s="81"/>
      <c r="H302" s="83"/>
    </row>
    <row r="303" spans="1:11" x14ac:dyDescent="0.3">
      <c r="A303" s="29" t="s">
        <v>49</v>
      </c>
      <c r="B303" s="1">
        <v>108633.62731452307</v>
      </c>
      <c r="C303" s="1">
        <v>116840.73044342134</v>
      </c>
      <c r="D303" s="1">
        <v>125487.06496871747</v>
      </c>
      <c r="E303" s="1">
        <v>117043.218924819</v>
      </c>
      <c r="F303" s="1">
        <v>109918.81027859949</v>
      </c>
      <c r="G303" s="1">
        <v>111911.98632147432</v>
      </c>
      <c r="H303" s="65">
        <v>118130.75472123142</v>
      </c>
    </row>
    <row r="304" spans="1:11" x14ac:dyDescent="0.3">
      <c r="A304" s="24" t="s">
        <v>121</v>
      </c>
      <c r="B304" s="20">
        <v>37840.710490843499</v>
      </c>
      <c r="C304" s="20">
        <v>35399.386676236834</v>
      </c>
      <c r="D304" s="20">
        <v>31395.284541500016</v>
      </c>
      <c r="E304" s="20">
        <v>26741.761536735299</v>
      </c>
      <c r="F304" s="20">
        <v>28926.754994355444</v>
      </c>
      <c r="G304" s="20">
        <v>31341.615153115999</v>
      </c>
      <c r="H304" s="58">
        <v>31195.546584525906</v>
      </c>
    </row>
    <row r="305" spans="1:8" x14ac:dyDescent="0.3">
      <c r="A305" s="24" t="s">
        <v>116</v>
      </c>
      <c r="B305" s="20">
        <v>14522.810488496509</v>
      </c>
      <c r="C305" s="20">
        <v>17074.519156367754</v>
      </c>
      <c r="D305" s="20">
        <v>20193.611794004551</v>
      </c>
      <c r="E305" s="20">
        <v>19746.768387324937</v>
      </c>
      <c r="F305" s="20">
        <v>16177.526345435886</v>
      </c>
      <c r="G305" s="20">
        <v>17072.420795609145</v>
      </c>
      <c r="H305" s="58">
        <v>20961.156033708259</v>
      </c>
    </row>
    <row r="306" spans="1:8" x14ac:dyDescent="0.3">
      <c r="A306" s="24" t="s">
        <v>133</v>
      </c>
      <c r="B306" s="20">
        <v>14575.891569271724</v>
      </c>
      <c r="C306" s="20">
        <v>15680.586266702248</v>
      </c>
      <c r="D306" s="20">
        <v>16961.911534452607</v>
      </c>
      <c r="E306" s="20">
        <v>16861.861349908049</v>
      </c>
      <c r="F306" s="20">
        <v>14317.762038240848</v>
      </c>
      <c r="G306" s="20">
        <v>16574.305506227094</v>
      </c>
      <c r="H306" s="58">
        <v>16599.859724388873</v>
      </c>
    </row>
    <row r="307" spans="1:8" x14ac:dyDescent="0.3">
      <c r="A307" s="24" t="s">
        <v>130</v>
      </c>
      <c r="B307" s="20">
        <v>1442.6977559510797</v>
      </c>
      <c r="C307" s="20">
        <v>4832.8732767911115</v>
      </c>
      <c r="D307" s="20">
        <v>9427.5352646960473</v>
      </c>
      <c r="E307" s="20">
        <v>10744.81535626101</v>
      </c>
      <c r="F307" s="20">
        <v>9315.4762446435052</v>
      </c>
      <c r="G307" s="20">
        <v>7904.7124569250454</v>
      </c>
      <c r="H307" s="58">
        <v>9553.705662691742</v>
      </c>
    </row>
    <row r="308" spans="1:8" x14ac:dyDescent="0.3">
      <c r="A308" s="24" t="s">
        <v>117</v>
      </c>
      <c r="B308" s="20">
        <v>9863.0729850885418</v>
      </c>
      <c r="C308" s="20">
        <v>12508.463927069537</v>
      </c>
      <c r="D308" s="20">
        <v>16438.205547107085</v>
      </c>
      <c r="E308" s="20">
        <v>11505.873388160851</v>
      </c>
      <c r="F308" s="20">
        <v>9439.0982576207953</v>
      </c>
      <c r="G308" s="20">
        <v>8321.6559131934264</v>
      </c>
      <c r="H308" s="58">
        <v>9111.4767942199505</v>
      </c>
    </row>
    <row r="309" spans="1:8" x14ac:dyDescent="0.3">
      <c r="A309" s="24" t="s">
        <v>124</v>
      </c>
      <c r="B309" s="20">
        <v>9413.0163831517875</v>
      </c>
      <c r="C309" s="20">
        <v>8912.4895095101529</v>
      </c>
      <c r="D309" s="20">
        <v>8179.9185587520415</v>
      </c>
      <c r="E309" s="20">
        <v>8401.9846384019856</v>
      </c>
      <c r="F309" s="20">
        <v>9905.2307106944518</v>
      </c>
      <c r="G309" s="20">
        <v>9324.0205001547092</v>
      </c>
      <c r="H309" s="58">
        <v>8262.0446058361558</v>
      </c>
    </row>
    <row r="310" spans="1:8" x14ac:dyDescent="0.3">
      <c r="A310" s="24" t="s">
        <v>125</v>
      </c>
      <c r="B310" s="20">
        <v>4582.0247674867214</v>
      </c>
      <c r="C310" s="20">
        <v>4739.6412355482962</v>
      </c>
      <c r="D310" s="20">
        <v>5325.3945864144343</v>
      </c>
      <c r="E310" s="20">
        <v>5899.4828639128591</v>
      </c>
      <c r="F310" s="20">
        <v>6734.5534390992898</v>
      </c>
      <c r="G310" s="20">
        <v>6297.1637483166742</v>
      </c>
      <c r="H310" s="58">
        <v>6382.023065392661</v>
      </c>
    </row>
    <row r="311" spans="1:8" x14ac:dyDescent="0.3">
      <c r="A311" s="24" t="s">
        <v>118</v>
      </c>
      <c r="B311" s="20">
        <v>3783.6694134441027</v>
      </c>
      <c r="C311" s="20">
        <v>3943.2732930271736</v>
      </c>
      <c r="D311" s="20">
        <v>4599.0556863514194</v>
      </c>
      <c r="E311" s="20">
        <v>4572.489525906969</v>
      </c>
      <c r="F311" s="20">
        <v>3740.5849012993513</v>
      </c>
      <c r="G311" s="20">
        <v>3642.7980239324074</v>
      </c>
      <c r="H311" s="58">
        <v>3748.576057194316</v>
      </c>
    </row>
    <row r="312" spans="1:8" x14ac:dyDescent="0.3">
      <c r="A312" s="24" t="s">
        <v>122</v>
      </c>
      <c r="B312" s="20">
        <v>771.8086639810183</v>
      </c>
      <c r="C312" s="20">
        <v>1696.5524947915999</v>
      </c>
      <c r="D312" s="20">
        <v>1811.140317455214</v>
      </c>
      <c r="E312" s="20">
        <v>2123.5873116616726</v>
      </c>
      <c r="F312" s="20">
        <v>2206.1913392317201</v>
      </c>
      <c r="G312" s="20">
        <v>2424.7157747728097</v>
      </c>
      <c r="H312" s="58">
        <v>3325.575501929306</v>
      </c>
    </row>
    <row r="313" spans="1:8" x14ac:dyDescent="0.3">
      <c r="A313" s="24" t="s">
        <v>129</v>
      </c>
      <c r="B313" s="20">
        <v>2958.0892739425663</v>
      </c>
      <c r="C313" s="20">
        <v>2588.4500025077486</v>
      </c>
      <c r="D313" s="20">
        <v>2603.4302467238522</v>
      </c>
      <c r="E313" s="20">
        <v>2455.5843425198364</v>
      </c>
      <c r="F313" s="20">
        <v>2161.4500594296583</v>
      </c>
      <c r="G313" s="20">
        <v>2264.8327120541253</v>
      </c>
      <c r="H313" s="58">
        <v>2361.2856562350553</v>
      </c>
    </row>
    <row r="314" spans="1:8" x14ac:dyDescent="0.3">
      <c r="A314" s="24" t="s">
        <v>127</v>
      </c>
      <c r="B314" s="20">
        <v>1726.5653492843271</v>
      </c>
      <c r="C314" s="20">
        <v>1614.8536427937597</v>
      </c>
      <c r="D314" s="20">
        <v>1296.0305175285175</v>
      </c>
      <c r="E314" s="20">
        <v>1734.6211323126579</v>
      </c>
      <c r="F314" s="20">
        <v>1563.6201006034273</v>
      </c>
      <c r="G314" s="20">
        <v>1663.910256839273</v>
      </c>
      <c r="H314" s="58">
        <v>1888.9563602148492</v>
      </c>
    </row>
    <row r="315" spans="1:8" x14ac:dyDescent="0.3">
      <c r="A315" s="24" t="s">
        <v>123</v>
      </c>
      <c r="B315" s="20">
        <v>2547.0989707622271</v>
      </c>
      <c r="C315" s="20">
        <v>3658.8364800859067</v>
      </c>
      <c r="D315" s="20">
        <v>2987.5342214727557</v>
      </c>
      <c r="E315" s="20">
        <v>2170.3875008680666</v>
      </c>
      <c r="F315" s="20">
        <v>2051.3503864305994</v>
      </c>
      <c r="G315" s="20">
        <v>2325.3374318079864</v>
      </c>
      <c r="H315" s="58">
        <v>1775.294355061636</v>
      </c>
    </row>
    <row r="316" spans="1:8" x14ac:dyDescent="0.3">
      <c r="A316" s="24" t="s">
        <v>120</v>
      </c>
      <c r="B316" s="20">
        <v>2046.9331452629278</v>
      </c>
      <c r="C316" s="20">
        <v>1590.6098816214201</v>
      </c>
      <c r="D316" s="20">
        <v>1787.3704907470519</v>
      </c>
      <c r="E316" s="20">
        <v>1801.4003372599955</v>
      </c>
      <c r="F316" s="20">
        <v>1707.3639431273</v>
      </c>
      <c r="G316" s="20">
        <v>1689.575699061673</v>
      </c>
      <c r="H316" s="58">
        <v>1403.5308584999589</v>
      </c>
    </row>
    <row r="317" spans="1:8" x14ac:dyDescent="0.3">
      <c r="A317" s="24" t="s">
        <v>119</v>
      </c>
      <c r="B317" s="20">
        <v>1153.5675596393985</v>
      </c>
      <c r="C317" s="20">
        <v>963.95427050244996</v>
      </c>
      <c r="D317" s="20">
        <v>934.32589172957466</v>
      </c>
      <c r="E317" s="20">
        <v>830.04018698800155</v>
      </c>
      <c r="F317" s="20">
        <v>885.83418949464897</v>
      </c>
      <c r="G317" s="20">
        <v>527.57486641537025</v>
      </c>
      <c r="H317" s="58">
        <v>1030.1089030265923</v>
      </c>
    </row>
    <row r="318" spans="1:8" x14ac:dyDescent="0.3">
      <c r="A318" s="24" t="s">
        <v>115</v>
      </c>
      <c r="B318" s="20">
        <v>1405.67049791664</v>
      </c>
      <c r="C318" s="20">
        <v>1636.2403298653533</v>
      </c>
      <c r="D318" s="20">
        <v>1546.3157697822762</v>
      </c>
      <c r="E318" s="20">
        <v>1452.5610665967927</v>
      </c>
      <c r="F318" s="20">
        <v>786.01332889257594</v>
      </c>
      <c r="G318" s="20">
        <v>537.34748304857658</v>
      </c>
      <c r="H318" s="58">
        <v>531.61455830617172</v>
      </c>
    </row>
    <row r="319" spans="1:8" ht="14.4" thickBot="1" x14ac:dyDescent="0.35">
      <c r="A319" s="25" t="s">
        <v>132</v>
      </c>
      <c r="B319" s="27">
        <v>3940.5417730744998</v>
      </c>
      <c r="C319" s="27">
        <v>1664.233653210561</v>
      </c>
      <c r="D319" s="27">
        <v>630.43899641842097</v>
      </c>
      <c r="E319" s="27" t="s">
        <v>10</v>
      </c>
      <c r="F319" s="27" t="s">
        <v>10</v>
      </c>
      <c r="G319" s="27" t="s">
        <v>10</v>
      </c>
      <c r="H319" s="66" t="s">
        <v>10</v>
      </c>
    </row>
    <row r="321" spans="1:8" x14ac:dyDescent="0.3">
      <c r="A321" s="77" t="s">
        <v>411</v>
      </c>
      <c r="B321" s="77"/>
      <c r="C321" s="77"/>
      <c r="D321" s="77"/>
      <c r="E321" s="77"/>
      <c r="F321" s="77"/>
    </row>
    <row r="322" spans="1:8" x14ac:dyDescent="0.3">
      <c r="A322" s="77"/>
      <c r="B322" s="77"/>
      <c r="C322" s="77"/>
      <c r="D322" s="77"/>
      <c r="E322" s="77"/>
      <c r="F322" s="77"/>
    </row>
    <row r="323" spans="1:8" ht="14.4" thickBot="1" x14ac:dyDescent="0.35"/>
    <row r="324" spans="1:8" x14ac:dyDescent="0.3">
      <c r="A324" s="90" t="s">
        <v>114</v>
      </c>
      <c r="B324" s="80">
        <v>2007</v>
      </c>
      <c r="C324" s="80">
        <v>2008</v>
      </c>
      <c r="D324" s="80">
        <v>2009</v>
      </c>
      <c r="E324" s="80">
        <v>2010</v>
      </c>
      <c r="F324" s="80">
        <v>2011</v>
      </c>
      <c r="G324" s="80">
        <v>2012</v>
      </c>
      <c r="H324" s="82">
        <v>2013</v>
      </c>
    </row>
    <row r="325" spans="1:8" ht="14.4" thickBot="1" x14ac:dyDescent="0.35">
      <c r="A325" s="91"/>
      <c r="B325" s="81"/>
      <c r="C325" s="81"/>
      <c r="D325" s="81"/>
      <c r="E325" s="81"/>
      <c r="F325" s="81"/>
      <c r="G325" s="81"/>
      <c r="H325" s="83"/>
    </row>
    <row r="326" spans="1:8" x14ac:dyDescent="0.3">
      <c r="A326" s="29" t="s">
        <v>49</v>
      </c>
      <c r="B326" s="1">
        <v>329164.77903500001</v>
      </c>
      <c r="C326" s="1">
        <v>345109.27027199994</v>
      </c>
      <c r="D326" s="1">
        <v>302459.11291000003</v>
      </c>
      <c r="E326" s="1">
        <v>261989.605794</v>
      </c>
      <c r="F326" s="1">
        <v>230199.08238499996</v>
      </c>
      <c r="G326" s="1">
        <v>249236.15747600005</v>
      </c>
      <c r="H326" s="65">
        <v>266472.33039299992</v>
      </c>
    </row>
    <row r="327" spans="1:8" x14ac:dyDescent="0.3">
      <c r="A327" s="33" t="s">
        <v>121</v>
      </c>
      <c r="B327" s="20">
        <v>180716.58996100002</v>
      </c>
      <c r="C327" s="20">
        <v>164842.57566899998</v>
      </c>
      <c r="D327" s="20">
        <v>127720.409894</v>
      </c>
      <c r="E327" s="20">
        <v>94396.498170999985</v>
      </c>
      <c r="F327" s="20">
        <v>83083.059157999989</v>
      </c>
      <c r="G327" s="20">
        <v>91961.573697</v>
      </c>
      <c r="H327" s="58">
        <v>89988.658188999994</v>
      </c>
    </row>
    <row r="328" spans="1:8" x14ac:dyDescent="0.3">
      <c r="A328" s="33" t="s">
        <v>124</v>
      </c>
      <c r="B328" s="20">
        <v>47483.654729000002</v>
      </c>
      <c r="C328" s="20">
        <v>50475.509019000005</v>
      </c>
      <c r="D328" s="20">
        <v>41412.901015000003</v>
      </c>
      <c r="E328" s="20">
        <v>48550.962531999998</v>
      </c>
      <c r="F328" s="20">
        <v>44661.013916000004</v>
      </c>
      <c r="G328" s="20">
        <v>46127.164706000003</v>
      </c>
      <c r="H328" s="58">
        <v>46736.879674999996</v>
      </c>
    </row>
    <row r="329" spans="1:8" x14ac:dyDescent="0.3">
      <c r="A329" s="33" t="s">
        <v>126</v>
      </c>
      <c r="B329" s="20">
        <v>36567.237538000001</v>
      </c>
      <c r="C329" s="20">
        <v>44765.475886</v>
      </c>
      <c r="D329" s="20">
        <v>36210.032818000007</v>
      </c>
      <c r="E329" s="20">
        <v>35185.991178000004</v>
      </c>
      <c r="F329" s="20">
        <v>35079.351654000006</v>
      </c>
      <c r="G329" s="20">
        <v>40457.323843999999</v>
      </c>
      <c r="H329" s="58">
        <v>46705.892148000006</v>
      </c>
    </row>
    <row r="330" spans="1:8" x14ac:dyDescent="0.3">
      <c r="A330" s="33" t="s">
        <v>116</v>
      </c>
      <c r="B330" s="20">
        <v>20716.990461000001</v>
      </c>
      <c r="C330" s="20">
        <v>27568.779437999998</v>
      </c>
      <c r="D330" s="20">
        <v>36086.15017500001</v>
      </c>
      <c r="E330" s="20">
        <v>27095.617654000005</v>
      </c>
      <c r="F330" s="20">
        <v>21230.872543999994</v>
      </c>
      <c r="G330" s="20">
        <v>20424.067673000001</v>
      </c>
      <c r="H330" s="58">
        <v>21439.968382999996</v>
      </c>
    </row>
    <row r="331" spans="1:8" x14ac:dyDescent="0.3">
      <c r="A331" s="33" t="s">
        <v>122</v>
      </c>
      <c r="B331" s="20">
        <v>3246.2589459999999</v>
      </c>
      <c r="C331" s="20">
        <v>9497.0974569999998</v>
      </c>
      <c r="D331" s="20">
        <v>8424.6351529999993</v>
      </c>
      <c r="E331" s="20">
        <v>7951.9535879999994</v>
      </c>
      <c r="F331" s="20">
        <v>9240.0729980000015</v>
      </c>
      <c r="G331" s="20">
        <v>9759.4905799999997</v>
      </c>
      <c r="H331" s="58">
        <v>15258.743</v>
      </c>
    </row>
    <row r="332" spans="1:8" x14ac:dyDescent="0.3">
      <c r="A332" s="33" t="s">
        <v>125</v>
      </c>
      <c r="B332" s="20">
        <v>10929.892656999999</v>
      </c>
      <c r="C332" s="20">
        <v>13228.387801999997</v>
      </c>
      <c r="D332" s="20">
        <v>14872.220706000002</v>
      </c>
      <c r="E332" s="20">
        <v>10918.627965</v>
      </c>
      <c r="F332" s="20">
        <v>6380.6397260000003</v>
      </c>
      <c r="G332" s="20">
        <v>7197.7732150000002</v>
      </c>
      <c r="H332" s="58">
        <v>11765.565649</v>
      </c>
    </row>
    <row r="333" spans="1:8" x14ac:dyDescent="0.3">
      <c r="A333" s="33" t="s">
        <v>127</v>
      </c>
      <c r="B333" s="20">
        <v>12920.051925</v>
      </c>
      <c r="C333" s="20">
        <v>13864.057350000001</v>
      </c>
      <c r="D333" s="20">
        <v>12750.419327999998</v>
      </c>
      <c r="E333" s="20">
        <v>14259.328469</v>
      </c>
      <c r="F333" s="20">
        <v>11835.236161000001</v>
      </c>
      <c r="G333" s="20">
        <v>12176.22752</v>
      </c>
      <c r="H333" s="58">
        <v>11033.694610000002</v>
      </c>
    </row>
    <row r="334" spans="1:8" x14ac:dyDescent="0.3">
      <c r="A334" s="33" t="s">
        <v>117</v>
      </c>
      <c r="B334" s="20">
        <v>4754.3679859999993</v>
      </c>
      <c r="C334" s="20">
        <v>8771.0930779999999</v>
      </c>
      <c r="D334" s="20">
        <v>13808.180751</v>
      </c>
      <c r="E334" s="20">
        <v>12528.109796999999</v>
      </c>
      <c r="F334" s="20">
        <v>10071.323707000001</v>
      </c>
      <c r="G334" s="20">
        <v>9638.3620280000014</v>
      </c>
      <c r="H334" s="58">
        <v>10782.912867999999</v>
      </c>
    </row>
    <row r="335" spans="1:8" x14ac:dyDescent="0.3">
      <c r="A335" s="33" t="s">
        <v>130</v>
      </c>
      <c r="B335" s="20">
        <v>5979.8113180000009</v>
      </c>
      <c r="C335" s="20">
        <v>6971.6206949999996</v>
      </c>
      <c r="D335" s="20">
        <v>5411.0526479999999</v>
      </c>
      <c r="E335" s="20">
        <v>5583.0337879999997</v>
      </c>
      <c r="F335" s="20">
        <v>4147.3602330000003</v>
      </c>
      <c r="G335" s="20">
        <v>7669.0031949999993</v>
      </c>
      <c r="H335" s="58">
        <v>8868.2304060000006</v>
      </c>
    </row>
    <row r="336" spans="1:8" x14ac:dyDescent="0.3">
      <c r="A336" s="33" t="s">
        <v>129</v>
      </c>
      <c r="B336" s="20">
        <v>2760.4993249999998</v>
      </c>
      <c r="C336" s="20">
        <v>3193.4535519999999</v>
      </c>
      <c r="D336" s="20">
        <v>3675.5636380000005</v>
      </c>
      <c r="E336" s="20">
        <v>3335.7242859999997</v>
      </c>
      <c r="F336" s="20">
        <v>2686.2832439999997</v>
      </c>
      <c r="G336" s="20">
        <v>2121.069156</v>
      </c>
      <c r="H336" s="58">
        <v>2123.3728430000001</v>
      </c>
    </row>
    <row r="337" spans="1:9" x14ac:dyDescent="0.3">
      <c r="A337" s="33" t="s">
        <v>128</v>
      </c>
      <c r="B337" s="20">
        <v>3089.4241890000003</v>
      </c>
      <c r="C337" s="20">
        <v>1931.2203260000001</v>
      </c>
      <c r="D337" s="20">
        <v>2087.5467840000001</v>
      </c>
      <c r="E337" s="20">
        <v>2183.758366</v>
      </c>
      <c r="F337" s="20">
        <v>1779.1017879999999</v>
      </c>
      <c r="G337" s="20">
        <v>1682.2281269999996</v>
      </c>
      <c r="H337" s="58">
        <v>1568.3132920000003</v>
      </c>
    </row>
    <row r="338" spans="1:9" ht="14.4" thickBot="1" x14ac:dyDescent="0.35">
      <c r="A338" s="34" t="s">
        <v>131</v>
      </c>
      <c r="B338" s="27" t="s">
        <v>10</v>
      </c>
      <c r="C338" s="27" t="s">
        <v>10</v>
      </c>
      <c r="D338" s="27" t="s">
        <v>10</v>
      </c>
      <c r="E338" s="27" t="s">
        <v>10</v>
      </c>
      <c r="F338" s="27">
        <v>4.7672559999999997</v>
      </c>
      <c r="G338" s="27">
        <v>21.873735</v>
      </c>
      <c r="H338" s="66">
        <v>200.09933000000001</v>
      </c>
    </row>
    <row r="340" spans="1:9" x14ac:dyDescent="0.3">
      <c r="A340" s="77" t="s">
        <v>412</v>
      </c>
      <c r="B340" s="77"/>
      <c r="C340" s="77"/>
      <c r="D340" s="77"/>
      <c r="E340" s="77"/>
      <c r="F340" s="77"/>
    </row>
    <row r="341" spans="1:9" x14ac:dyDescent="0.3">
      <c r="A341" s="77"/>
      <c r="B341" s="77"/>
      <c r="C341" s="77"/>
      <c r="D341" s="77"/>
      <c r="E341" s="77"/>
      <c r="F341" s="77"/>
    </row>
    <row r="342" spans="1:9" ht="14.4" thickBot="1" x14ac:dyDescent="0.35"/>
    <row r="343" spans="1:9" x14ac:dyDescent="0.3">
      <c r="A343" s="90" t="s">
        <v>134</v>
      </c>
      <c r="B343" s="80" t="s">
        <v>114</v>
      </c>
      <c r="C343" s="80">
        <v>2007</v>
      </c>
      <c r="D343" s="80">
        <v>2008</v>
      </c>
      <c r="E343" s="80">
        <v>2009</v>
      </c>
      <c r="F343" s="80">
        <v>2010</v>
      </c>
      <c r="G343" s="80">
        <v>2011</v>
      </c>
      <c r="H343" s="80">
        <v>2012</v>
      </c>
      <c r="I343" s="82">
        <v>2013</v>
      </c>
    </row>
    <row r="344" spans="1:9" ht="14.4" thickBot="1" x14ac:dyDescent="0.35">
      <c r="A344" s="91"/>
      <c r="B344" s="81"/>
      <c r="C344" s="81"/>
      <c r="D344" s="81"/>
      <c r="E344" s="81"/>
      <c r="F344" s="81"/>
      <c r="G344" s="81"/>
      <c r="H344" s="81"/>
      <c r="I344" s="83"/>
    </row>
    <row r="345" spans="1:9" x14ac:dyDescent="0.3">
      <c r="A345" s="29" t="s">
        <v>135</v>
      </c>
      <c r="B345" s="38"/>
      <c r="C345" s="1">
        <v>5103597.2635999992</v>
      </c>
      <c r="D345" s="1">
        <v>5160707.0164000001</v>
      </c>
      <c r="E345" s="1">
        <v>4418768.325600001</v>
      </c>
      <c r="F345" s="1">
        <v>6042644.2223000005</v>
      </c>
      <c r="G345" s="1">
        <v>7010937.8915999997</v>
      </c>
      <c r="H345" s="1">
        <v>6684539.3917999994</v>
      </c>
      <c r="I345" s="65">
        <v>6680658.79</v>
      </c>
    </row>
    <row r="346" spans="1:9" x14ac:dyDescent="0.3">
      <c r="A346" s="24" t="s">
        <v>136</v>
      </c>
      <c r="B346" s="38" t="s">
        <v>137</v>
      </c>
      <c r="C346" s="20">
        <v>5103597.2635999992</v>
      </c>
      <c r="D346" s="20">
        <v>5160707.0164000001</v>
      </c>
      <c r="E346" s="20">
        <v>4418768.325600001</v>
      </c>
      <c r="F346" s="20">
        <v>6042644.2223000005</v>
      </c>
      <c r="G346" s="20">
        <v>7010937.8915999997</v>
      </c>
      <c r="H346" s="20">
        <v>6684539.3917999994</v>
      </c>
      <c r="I346" s="58">
        <v>6680658.79</v>
      </c>
    </row>
    <row r="347" spans="1:9" x14ac:dyDescent="0.3">
      <c r="A347" s="29" t="s">
        <v>138</v>
      </c>
      <c r="B347" s="38"/>
      <c r="C347" s="1">
        <v>39018.915689000001</v>
      </c>
      <c r="D347" s="1">
        <v>39037.065935000006</v>
      </c>
      <c r="E347" s="1">
        <v>37502.627191</v>
      </c>
      <c r="F347" s="1">
        <v>33847.813441999999</v>
      </c>
      <c r="G347" s="1">
        <v>28881.790965999997</v>
      </c>
      <c r="H347" s="1">
        <v>26104.854506999996</v>
      </c>
      <c r="I347" s="65">
        <v>23667.787450999997</v>
      </c>
    </row>
    <row r="348" spans="1:9" ht="14.4" thickBot="1" x14ac:dyDescent="0.35">
      <c r="A348" s="24" t="s">
        <v>139</v>
      </c>
      <c r="B348" s="35" t="s">
        <v>140</v>
      </c>
      <c r="C348" s="27">
        <v>39018.915689000001</v>
      </c>
      <c r="D348" s="27">
        <v>39037.065935000006</v>
      </c>
      <c r="E348" s="27">
        <v>37502.627191</v>
      </c>
      <c r="F348" s="27">
        <v>33847.813441999999</v>
      </c>
      <c r="G348" s="27">
        <v>28881.790965999997</v>
      </c>
      <c r="H348" s="27">
        <v>26104.854506999996</v>
      </c>
      <c r="I348" s="66">
        <v>23667.787450999997</v>
      </c>
    </row>
    <row r="349" spans="1:9" x14ac:dyDescent="0.3">
      <c r="A349" s="29" t="s">
        <v>369</v>
      </c>
      <c r="B349" s="36"/>
      <c r="C349" s="20"/>
      <c r="D349" s="20"/>
      <c r="E349" s="20"/>
      <c r="F349" s="20"/>
      <c r="G349" s="20"/>
      <c r="H349" s="20"/>
      <c r="I349" s="58"/>
    </row>
    <row r="350" spans="1:9" x14ac:dyDescent="0.3">
      <c r="A350" s="24" t="s">
        <v>235</v>
      </c>
      <c r="B350" s="36" t="s">
        <v>370</v>
      </c>
      <c r="C350" s="38"/>
      <c r="D350" s="20"/>
      <c r="E350" s="20"/>
      <c r="F350" s="20"/>
      <c r="G350" s="20"/>
      <c r="H350" s="20"/>
      <c r="I350" s="58">
        <v>4544.1959000000006</v>
      </c>
    </row>
    <row r="351" spans="1:9" x14ac:dyDescent="0.3">
      <c r="A351" s="24" t="s">
        <v>234</v>
      </c>
      <c r="B351" s="36" t="s">
        <v>371</v>
      </c>
      <c r="C351" s="38"/>
      <c r="D351" s="20"/>
      <c r="E351" s="20"/>
      <c r="F351" s="20"/>
      <c r="G351" s="20"/>
      <c r="H351" s="20"/>
      <c r="I351" s="58">
        <v>5800.5119069999992</v>
      </c>
    </row>
    <row r="352" spans="1:9" x14ac:dyDescent="0.3">
      <c r="A352" s="24" t="s">
        <v>236</v>
      </c>
      <c r="B352" s="36" t="s">
        <v>372</v>
      </c>
      <c r="C352" s="38"/>
      <c r="D352" s="20"/>
      <c r="E352" s="20"/>
      <c r="F352" s="20"/>
      <c r="G352" s="20"/>
      <c r="H352" s="20"/>
      <c r="I352" s="58">
        <v>3132.8317390000002</v>
      </c>
    </row>
    <row r="353" spans="1:9" ht="14.4" thickBot="1" x14ac:dyDescent="0.35">
      <c r="A353" s="25" t="s">
        <v>236</v>
      </c>
      <c r="B353" s="37" t="s">
        <v>373</v>
      </c>
      <c r="C353" s="23"/>
      <c r="D353" s="27"/>
      <c r="E353" s="27"/>
      <c r="F353" s="27"/>
      <c r="G353" s="27"/>
      <c r="H353" s="27"/>
      <c r="I353" s="66">
        <v>4662.0576979999996</v>
      </c>
    </row>
    <row r="354" spans="1:9" x14ac:dyDescent="0.3">
      <c r="A354" s="38"/>
      <c r="B354" s="36"/>
      <c r="C354" s="20"/>
      <c r="D354" s="20"/>
      <c r="E354" s="20"/>
      <c r="F354" s="20"/>
      <c r="G354" s="20"/>
      <c r="H354" s="20"/>
      <c r="I354" s="20"/>
    </row>
    <row r="355" spans="1:9" x14ac:dyDescent="0.3">
      <c r="A355" s="38"/>
      <c r="B355" s="36"/>
      <c r="C355" s="20"/>
      <c r="D355" s="20"/>
      <c r="E355" s="20"/>
      <c r="F355" s="20"/>
      <c r="G355" s="20"/>
      <c r="H355" s="20"/>
      <c r="I355" s="20"/>
    </row>
    <row r="356" spans="1:9" x14ac:dyDescent="0.3">
      <c r="A356" s="38"/>
      <c r="B356" s="36"/>
      <c r="C356" s="20"/>
      <c r="D356" s="20"/>
      <c r="E356" s="20"/>
      <c r="F356" s="20"/>
      <c r="G356" s="20"/>
      <c r="H356" s="20"/>
      <c r="I356" s="20"/>
    </row>
    <row r="357" spans="1:9" x14ac:dyDescent="0.3">
      <c r="A357" s="38"/>
      <c r="B357" s="36"/>
      <c r="C357" s="20"/>
      <c r="D357" s="20"/>
      <c r="E357" s="20"/>
      <c r="F357" s="20"/>
      <c r="G357" s="20"/>
      <c r="H357" s="20"/>
      <c r="I357" s="20"/>
    </row>
    <row r="358" spans="1:9" x14ac:dyDescent="0.3">
      <c r="A358" s="77" t="s">
        <v>413</v>
      </c>
      <c r="B358" s="77"/>
      <c r="C358" s="77"/>
      <c r="D358" s="77"/>
      <c r="E358" s="77"/>
      <c r="F358" s="77"/>
    </row>
    <row r="359" spans="1:9" ht="14.4" thickBot="1" x14ac:dyDescent="0.35">
      <c r="A359" s="77"/>
      <c r="B359" s="77"/>
      <c r="C359" s="77"/>
      <c r="D359" s="77"/>
      <c r="E359" s="77"/>
      <c r="F359" s="77"/>
    </row>
    <row r="360" spans="1:9" ht="14.4" thickBot="1" x14ac:dyDescent="0.35">
      <c r="A360" s="39"/>
    </row>
    <row r="361" spans="1:9" x14ac:dyDescent="0.3">
      <c r="A361" s="78" t="s">
        <v>141</v>
      </c>
      <c r="B361" s="80" t="s">
        <v>142</v>
      </c>
      <c r="C361" s="80">
        <v>2006</v>
      </c>
      <c r="D361" s="80">
        <v>2007</v>
      </c>
      <c r="E361" s="80">
        <v>2008</v>
      </c>
      <c r="F361" s="80">
        <v>2009</v>
      </c>
      <c r="G361" s="80">
        <v>2010</v>
      </c>
      <c r="H361" s="80">
        <v>2011</v>
      </c>
      <c r="I361" s="82">
        <v>2012</v>
      </c>
    </row>
    <row r="362" spans="1:9" ht="14.4" thickBot="1" x14ac:dyDescent="0.35">
      <c r="A362" s="79"/>
      <c r="B362" s="81"/>
      <c r="C362" s="81"/>
      <c r="D362" s="81"/>
      <c r="E362" s="81"/>
      <c r="F362" s="81"/>
      <c r="G362" s="81"/>
      <c r="H362" s="81"/>
      <c r="I362" s="83"/>
    </row>
    <row r="363" spans="1:9" x14ac:dyDescent="0.3">
      <c r="A363" s="24" t="s">
        <v>143</v>
      </c>
      <c r="B363" s="38" t="s">
        <v>144</v>
      </c>
      <c r="C363" s="13">
        <v>57132</v>
      </c>
      <c r="D363" s="13">
        <v>88998.317669643991</v>
      </c>
      <c r="E363" s="13">
        <v>73900.796850381957</v>
      </c>
      <c r="F363" s="13">
        <v>63886.330370233998</v>
      </c>
      <c r="G363" s="13">
        <v>75250</v>
      </c>
      <c r="H363" s="13">
        <v>68153</v>
      </c>
      <c r="I363" s="53">
        <v>68404</v>
      </c>
    </row>
    <row r="364" spans="1:9" x14ac:dyDescent="0.3">
      <c r="A364" s="24" t="s">
        <v>145</v>
      </c>
      <c r="B364" s="38" t="s">
        <v>146</v>
      </c>
      <c r="C364" s="13">
        <v>72823</v>
      </c>
      <c r="D364" s="13">
        <v>66553.570634978751</v>
      </c>
      <c r="E364" s="13">
        <v>63703.529124512759</v>
      </c>
      <c r="F364" s="13">
        <v>70923.774514271834</v>
      </c>
      <c r="G364" s="13">
        <v>73414</v>
      </c>
      <c r="H364" s="13">
        <v>63579</v>
      </c>
      <c r="I364" s="53">
        <v>74440</v>
      </c>
    </row>
    <row r="365" spans="1:9" x14ac:dyDescent="0.3">
      <c r="A365" s="24" t="s">
        <v>147</v>
      </c>
      <c r="B365" s="38" t="s">
        <v>144</v>
      </c>
      <c r="C365" s="13">
        <v>17106</v>
      </c>
      <c r="D365" s="13">
        <v>20696.288062881002</v>
      </c>
      <c r="E365" s="13">
        <v>19488.004073565004</v>
      </c>
      <c r="F365" s="13">
        <v>19983.876037307</v>
      </c>
      <c r="G365" s="13">
        <v>28521</v>
      </c>
      <c r="H365" s="13">
        <v>27691</v>
      </c>
      <c r="I365" s="53">
        <v>29046</v>
      </c>
    </row>
    <row r="366" spans="1:9" x14ac:dyDescent="0.3">
      <c r="A366" s="24" t="s">
        <v>148</v>
      </c>
      <c r="B366" s="38" t="s">
        <v>146</v>
      </c>
      <c r="C366" s="13">
        <v>1915282</v>
      </c>
      <c r="D366" s="13">
        <v>1497110.5706880968</v>
      </c>
      <c r="E366" s="13">
        <v>1726089.5771951259</v>
      </c>
      <c r="F366" s="13">
        <v>2178558.4425261323</v>
      </c>
      <c r="G366" s="13">
        <v>2422121</v>
      </c>
      <c r="H366" s="13">
        <v>2878767</v>
      </c>
      <c r="I366" s="53">
        <v>3487492</v>
      </c>
    </row>
    <row r="367" spans="1:9" x14ac:dyDescent="0.3">
      <c r="A367" s="24" t="s">
        <v>149</v>
      </c>
      <c r="B367" s="38" t="s">
        <v>144</v>
      </c>
      <c r="C367" s="13">
        <v>6295</v>
      </c>
      <c r="D367" s="13">
        <v>5876.2335135570193</v>
      </c>
      <c r="E367" s="13">
        <v>5061.9919869790001</v>
      </c>
      <c r="F367" s="13">
        <v>7275.2915425750007</v>
      </c>
      <c r="G367" s="13">
        <v>9155</v>
      </c>
      <c r="H367" s="13">
        <v>7623</v>
      </c>
      <c r="I367" s="53">
        <v>7038</v>
      </c>
    </row>
    <row r="368" spans="1:9" x14ac:dyDescent="0.3">
      <c r="A368" s="24" t="s">
        <v>150</v>
      </c>
      <c r="B368" s="38" t="s">
        <v>151</v>
      </c>
      <c r="C368" s="13">
        <v>1141203</v>
      </c>
      <c r="D368" s="13">
        <v>1224008.1868295472</v>
      </c>
      <c r="E368" s="13">
        <v>1228435.3956942938</v>
      </c>
      <c r="F368" s="13">
        <v>973872.46870194003</v>
      </c>
      <c r="G368" s="13">
        <v>1068242</v>
      </c>
      <c r="H368" s="13">
        <v>1082473</v>
      </c>
      <c r="I368" s="53">
        <v>1427004</v>
      </c>
    </row>
    <row r="369" spans="1:9" ht="14.4" thickBot="1" x14ac:dyDescent="0.35">
      <c r="A369" s="25" t="s">
        <v>152</v>
      </c>
      <c r="B369" s="35" t="s">
        <v>144</v>
      </c>
      <c r="C369" s="15">
        <v>474</v>
      </c>
      <c r="D369" s="15">
        <v>384.53309400002001</v>
      </c>
      <c r="E369" s="15">
        <v>307.46928500000001</v>
      </c>
      <c r="F369" s="15">
        <v>324.17106159999997</v>
      </c>
      <c r="G369" s="15">
        <v>157</v>
      </c>
      <c r="H369" s="15">
        <v>91</v>
      </c>
      <c r="I369" s="54">
        <v>80</v>
      </c>
    </row>
    <row r="372" spans="1:9" x14ac:dyDescent="0.3">
      <c r="A372" s="77" t="s">
        <v>414</v>
      </c>
      <c r="B372" s="77"/>
      <c r="C372" s="77"/>
      <c r="D372" s="77"/>
      <c r="E372" s="77"/>
      <c r="F372" s="77"/>
    </row>
    <row r="373" spans="1:9" x14ac:dyDescent="0.3">
      <c r="A373" s="77"/>
      <c r="B373" s="77"/>
      <c r="C373" s="77"/>
      <c r="D373" s="77"/>
      <c r="E373" s="77"/>
      <c r="F373" s="77"/>
    </row>
    <row r="374" spans="1:9" ht="14.4" thickBot="1" x14ac:dyDescent="0.35"/>
    <row r="375" spans="1:9" x14ac:dyDescent="0.3">
      <c r="A375" s="78" t="s">
        <v>114</v>
      </c>
      <c r="B375" s="80" t="s">
        <v>153</v>
      </c>
      <c r="C375" s="80" t="s">
        <v>154</v>
      </c>
      <c r="D375" s="82" t="s">
        <v>155</v>
      </c>
    </row>
    <row r="376" spans="1:9" ht="14.4" thickBot="1" x14ac:dyDescent="0.35">
      <c r="A376" s="79"/>
      <c r="B376" s="81"/>
      <c r="C376" s="81"/>
      <c r="D376" s="83"/>
    </row>
    <row r="377" spans="1:9" x14ac:dyDescent="0.3">
      <c r="A377" s="29" t="s">
        <v>143</v>
      </c>
      <c r="B377" s="40">
        <v>34194914.337981991</v>
      </c>
      <c r="C377" s="40">
        <v>34209371.507276997</v>
      </c>
      <c r="D377" s="67">
        <f>SUM(B377:C377)</f>
        <v>68404285.845258981</v>
      </c>
    </row>
    <row r="378" spans="1:9" x14ac:dyDescent="0.3">
      <c r="A378" s="24" t="s">
        <v>118</v>
      </c>
      <c r="B378" s="13">
        <v>11254305.867699999</v>
      </c>
      <c r="C378" s="13">
        <v>7688309.1171000004</v>
      </c>
      <c r="D378" s="53">
        <f t="shared" ref="D378:D394" si="0">SUM(B378:C378)</f>
        <v>18942614.9848</v>
      </c>
    </row>
    <row r="379" spans="1:9" x14ac:dyDescent="0.3">
      <c r="A379" s="24" t="s">
        <v>120</v>
      </c>
      <c r="B379" s="13">
        <v>11253726.5</v>
      </c>
      <c r="C379" s="13">
        <v>3539392.8000000003</v>
      </c>
      <c r="D379" s="53">
        <f t="shared" si="0"/>
        <v>14793119.300000001</v>
      </c>
    </row>
    <row r="380" spans="1:9" x14ac:dyDescent="0.3">
      <c r="A380" s="24" t="s">
        <v>117</v>
      </c>
      <c r="B380" s="13">
        <v>4254779.1361999996</v>
      </c>
      <c r="C380" s="13">
        <v>9426225.689199999</v>
      </c>
      <c r="D380" s="53">
        <f t="shared" si="0"/>
        <v>13681004.825399999</v>
      </c>
    </row>
    <row r="381" spans="1:9" x14ac:dyDescent="0.3">
      <c r="A381" s="24" t="s">
        <v>116</v>
      </c>
      <c r="B381" s="13">
        <v>2227978.3984999992</v>
      </c>
      <c r="C381" s="13">
        <v>6719012.0280000009</v>
      </c>
      <c r="D381" s="53">
        <f t="shared" si="0"/>
        <v>8946990.4265000001</v>
      </c>
    </row>
    <row r="382" spans="1:9" x14ac:dyDescent="0.3">
      <c r="A382" s="24" t="s">
        <v>131</v>
      </c>
      <c r="B382" s="13">
        <v>2507942.7083010003</v>
      </c>
      <c r="C382" s="13">
        <v>3506611.908601</v>
      </c>
      <c r="D382" s="53">
        <f t="shared" si="0"/>
        <v>6014554.6169020003</v>
      </c>
    </row>
    <row r="383" spans="1:9" x14ac:dyDescent="0.3">
      <c r="A383" s="24" t="s">
        <v>123</v>
      </c>
      <c r="B383" s="13">
        <v>538542.02120000008</v>
      </c>
      <c r="C383" s="13">
        <v>1609791.6414999999</v>
      </c>
      <c r="D383" s="53">
        <f t="shared" si="0"/>
        <v>2148333.6627000002</v>
      </c>
    </row>
    <row r="384" spans="1:9" x14ac:dyDescent="0.3">
      <c r="A384" s="24" t="s">
        <v>157</v>
      </c>
      <c r="B384" s="13">
        <v>1000000</v>
      </c>
      <c r="C384" s="13">
        <v>741190</v>
      </c>
      <c r="D384" s="53">
        <f t="shared" si="0"/>
        <v>1741190</v>
      </c>
    </row>
    <row r="385" spans="1:4" x14ac:dyDescent="0.3">
      <c r="A385" s="24" t="s">
        <v>124</v>
      </c>
      <c r="B385" s="13">
        <v>244715.38370000001</v>
      </c>
      <c r="C385" s="13">
        <v>305107.47230000002</v>
      </c>
      <c r="D385" s="53">
        <f t="shared" si="0"/>
        <v>549822.85600000003</v>
      </c>
    </row>
    <row r="386" spans="1:4" x14ac:dyDescent="0.3">
      <c r="A386" s="24" t="s">
        <v>121</v>
      </c>
      <c r="B386" s="13">
        <v>127125.99271999998</v>
      </c>
      <c r="C386" s="13">
        <v>305322.60929599998</v>
      </c>
      <c r="D386" s="53">
        <f t="shared" si="0"/>
        <v>432448.60201599996</v>
      </c>
    </row>
    <row r="387" spans="1:4" x14ac:dyDescent="0.3">
      <c r="A387" s="24" t="s">
        <v>122</v>
      </c>
      <c r="B387" s="13">
        <v>226981.81570000001</v>
      </c>
      <c r="C387" s="13">
        <v>188092.3058</v>
      </c>
      <c r="D387" s="53">
        <f t="shared" si="0"/>
        <v>415074.12150000001</v>
      </c>
    </row>
    <row r="388" spans="1:4" x14ac:dyDescent="0.3">
      <c r="A388" s="24" t="s">
        <v>125</v>
      </c>
      <c r="B388" s="13">
        <v>202940.45196000003</v>
      </c>
      <c r="C388" s="13">
        <v>43556.429299999996</v>
      </c>
      <c r="D388" s="53">
        <f t="shared" si="0"/>
        <v>246496.88126000002</v>
      </c>
    </row>
    <row r="389" spans="1:4" x14ac:dyDescent="0.3">
      <c r="A389" s="24" t="s">
        <v>132</v>
      </c>
      <c r="B389" s="13">
        <v>178215</v>
      </c>
      <c r="C389" s="13">
        <v>8593.619999999999</v>
      </c>
      <c r="D389" s="53">
        <f t="shared" si="0"/>
        <v>186808.62</v>
      </c>
    </row>
    <row r="390" spans="1:4" x14ac:dyDescent="0.3">
      <c r="A390" s="24" t="s">
        <v>126</v>
      </c>
      <c r="B390" s="13">
        <v>69845.365300999983</v>
      </c>
      <c r="C390" s="13">
        <v>101347.31758</v>
      </c>
      <c r="D390" s="53">
        <f t="shared" si="0"/>
        <v>171192.68288099999</v>
      </c>
    </row>
    <row r="391" spans="1:4" x14ac:dyDescent="0.3">
      <c r="A391" s="24" t="s">
        <v>128</v>
      </c>
      <c r="B391" s="13">
        <v>89324.253499999992</v>
      </c>
      <c r="C391" s="13">
        <v>5210.652</v>
      </c>
      <c r="D391" s="53">
        <f t="shared" si="0"/>
        <v>94534.905499999993</v>
      </c>
    </row>
    <row r="392" spans="1:4" x14ac:dyDescent="0.3">
      <c r="A392" s="24" t="s">
        <v>129</v>
      </c>
      <c r="B392" s="13">
        <v>8224.380000000001</v>
      </c>
      <c r="C392" s="13">
        <v>10836.01</v>
      </c>
      <c r="D392" s="53">
        <f t="shared" si="0"/>
        <v>19060.39</v>
      </c>
    </row>
    <row r="393" spans="1:4" x14ac:dyDescent="0.3">
      <c r="A393" s="24" t="s">
        <v>127</v>
      </c>
      <c r="B393" s="13">
        <v>8784.482</v>
      </c>
      <c r="C393" s="13">
        <v>6034.9459999999999</v>
      </c>
      <c r="D393" s="53">
        <f t="shared" si="0"/>
        <v>14819.428</v>
      </c>
    </row>
    <row r="394" spans="1:4" x14ac:dyDescent="0.3">
      <c r="A394" s="24" t="s">
        <v>130</v>
      </c>
      <c r="B394" s="13">
        <v>1482.5812000000001</v>
      </c>
      <c r="C394" s="13">
        <v>4736.9606000000003</v>
      </c>
      <c r="D394" s="53">
        <f t="shared" si="0"/>
        <v>6219.5418000000009</v>
      </c>
    </row>
    <row r="395" spans="1:4" x14ac:dyDescent="0.3">
      <c r="A395" s="24"/>
      <c r="B395" s="13"/>
      <c r="C395" s="13"/>
      <c r="D395" s="53"/>
    </row>
    <row r="396" spans="1:4" x14ac:dyDescent="0.3">
      <c r="A396" s="29" t="s">
        <v>147</v>
      </c>
      <c r="B396" s="40">
        <f>SUM(B397:B409)</f>
        <v>9750288.3784720004</v>
      </c>
      <c r="C396" s="40">
        <f>SUM(C397:C409)</f>
        <v>19295385.913144</v>
      </c>
      <c r="D396" s="67">
        <f>SUM(B396:C396)</f>
        <v>29045674.291616</v>
      </c>
    </row>
    <row r="397" spans="1:4" x14ac:dyDescent="0.3">
      <c r="A397" s="24" t="s">
        <v>116</v>
      </c>
      <c r="B397" s="13">
        <v>5176514.3986000018</v>
      </c>
      <c r="C397" s="13">
        <v>11769180.126000002</v>
      </c>
      <c r="D397" s="53">
        <f t="shared" ref="D397:D409" si="1">SUM(B397:C397)</f>
        <v>16945694.524600003</v>
      </c>
    </row>
    <row r="398" spans="1:4" x14ac:dyDescent="0.3">
      <c r="A398" s="24" t="s">
        <v>121</v>
      </c>
      <c r="B398" s="13">
        <v>1384631.2281499999</v>
      </c>
      <c r="C398" s="13">
        <v>3069533.4052399993</v>
      </c>
      <c r="D398" s="53">
        <f t="shared" si="1"/>
        <v>4454164.6333899992</v>
      </c>
    </row>
    <row r="399" spans="1:4" x14ac:dyDescent="0.3">
      <c r="A399" s="24" t="s">
        <v>126</v>
      </c>
      <c r="B399" s="13">
        <v>1338231.3003010002</v>
      </c>
      <c r="C399" s="13">
        <v>1401126.0411600005</v>
      </c>
      <c r="D399" s="53">
        <f t="shared" si="1"/>
        <v>2739357.341461001</v>
      </c>
    </row>
    <row r="400" spans="1:4" x14ac:dyDescent="0.3">
      <c r="A400" s="24" t="s">
        <v>124</v>
      </c>
      <c r="B400" s="13">
        <v>487456.84360000008</v>
      </c>
      <c r="C400" s="13">
        <v>1168744.7473999998</v>
      </c>
      <c r="D400" s="53">
        <f t="shared" si="1"/>
        <v>1656201.5909999998</v>
      </c>
    </row>
    <row r="401" spans="1:4" x14ac:dyDescent="0.3">
      <c r="A401" s="24" t="s">
        <v>122</v>
      </c>
      <c r="B401" s="13">
        <v>766327.27600000007</v>
      </c>
      <c r="C401" s="13">
        <v>327058.99600000004</v>
      </c>
      <c r="D401" s="53">
        <f t="shared" si="1"/>
        <v>1093386.2720000001</v>
      </c>
    </row>
    <row r="402" spans="1:4" x14ac:dyDescent="0.3">
      <c r="A402" s="24" t="s">
        <v>128</v>
      </c>
      <c r="B402" s="13">
        <v>194455.24600000001</v>
      </c>
      <c r="C402" s="13">
        <v>614144.60239999997</v>
      </c>
      <c r="D402" s="53">
        <f t="shared" si="1"/>
        <v>808599.84840000002</v>
      </c>
    </row>
    <row r="403" spans="1:4" x14ac:dyDescent="0.3">
      <c r="A403" s="24" t="s">
        <v>131</v>
      </c>
      <c r="B403" s="13">
        <v>90834.444000000003</v>
      </c>
      <c r="C403" s="13">
        <v>505266.95519999997</v>
      </c>
      <c r="D403" s="53">
        <f t="shared" si="1"/>
        <v>596101.39919999999</v>
      </c>
    </row>
    <row r="404" spans="1:4" x14ac:dyDescent="0.3">
      <c r="A404" s="24" t="s">
        <v>130</v>
      </c>
      <c r="B404" s="13">
        <v>43989.091199999995</v>
      </c>
      <c r="C404" s="13">
        <v>233075.1586</v>
      </c>
      <c r="D404" s="53">
        <f t="shared" si="1"/>
        <v>277064.24979999999</v>
      </c>
    </row>
    <row r="405" spans="1:4" x14ac:dyDescent="0.3">
      <c r="A405" s="24" t="s">
        <v>125</v>
      </c>
      <c r="B405" s="13">
        <v>98132.061220000003</v>
      </c>
      <c r="C405" s="13">
        <v>62442.937900000004</v>
      </c>
      <c r="D405" s="53">
        <f t="shared" si="1"/>
        <v>160574.99911999999</v>
      </c>
    </row>
    <row r="406" spans="1:4" x14ac:dyDescent="0.3">
      <c r="A406" s="24" t="s">
        <v>127</v>
      </c>
      <c r="B406" s="13">
        <v>65086.726999999999</v>
      </c>
      <c r="C406" s="13">
        <v>45547.343999999997</v>
      </c>
      <c r="D406" s="53">
        <f t="shared" si="1"/>
        <v>110634.071</v>
      </c>
    </row>
    <row r="407" spans="1:4" x14ac:dyDescent="0.3">
      <c r="A407" s="24" t="s">
        <v>117</v>
      </c>
      <c r="B407" s="13">
        <v>32053.077700999998</v>
      </c>
      <c r="C407" s="13">
        <v>72204.829243999993</v>
      </c>
      <c r="D407" s="53">
        <f t="shared" si="1"/>
        <v>104257.906945</v>
      </c>
    </row>
    <row r="408" spans="1:4" x14ac:dyDescent="0.3">
      <c r="A408" s="24" t="s">
        <v>129</v>
      </c>
      <c r="B408" s="13">
        <v>30047.09</v>
      </c>
      <c r="C408" s="13">
        <v>27060.77</v>
      </c>
      <c r="D408" s="53">
        <f t="shared" si="1"/>
        <v>57107.86</v>
      </c>
    </row>
    <row r="409" spans="1:4" x14ac:dyDescent="0.3">
      <c r="A409" s="24" t="s">
        <v>123</v>
      </c>
      <c r="B409" s="13">
        <v>42529.594699999994</v>
      </c>
      <c r="C409" s="13">
        <v>0</v>
      </c>
      <c r="D409" s="53">
        <f t="shared" si="1"/>
        <v>42529.594699999994</v>
      </c>
    </row>
    <row r="410" spans="1:4" x14ac:dyDescent="0.3">
      <c r="A410" s="24"/>
      <c r="B410" s="38"/>
      <c r="C410" s="38"/>
      <c r="D410" s="43"/>
    </row>
    <row r="411" spans="1:4" x14ac:dyDescent="0.3">
      <c r="A411" s="29" t="s">
        <v>149</v>
      </c>
      <c r="B411" s="40">
        <f>SUM(B412:B424)</f>
        <v>2106451.1961429999</v>
      </c>
      <c r="C411" s="40">
        <f>SUM(C412:C424)</f>
        <v>4931360.1468860004</v>
      </c>
      <c r="D411" s="67">
        <f>SUM(B411:C411)</f>
        <v>7037811.3430289999</v>
      </c>
    </row>
    <row r="412" spans="1:4" x14ac:dyDescent="0.3">
      <c r="A412" s="24" t="s">
        <v>116</v>
      </c>
      <c r="B412" s="13">
        <v>544321.03559999983</v>
      </c>
      <c r="C412" s="13">
        <v>1286909.6646000003</v>
      </c>
      <c r="D412" s="53">
        <f t="shared" ref="D412:D424" si="2">SUM(B412:C412)</f>
        <v>1831230.7002000001</v>
      </c>
    </row>
    <row r="413" spans="1:4" x14ac:dyDescent="0.3">
      <c r="A413" s="24" t="s">
        <v>121</v>
      </c>
      <c r="B413" s="13">
        <v>476825.76649999997</v>
      </c>
      <c r="C413" s="13">
        <v>1103190.57014</v>
      </c>
      <c r="D413" s="53">
        <f t="shared" si="2"/>
        <v>1580016.3366399999</v>
      </c>
    </row>
    <row r="414" spans="1:4" x14ac:dyDescent="0.3">
      <c r="A414" s="24" t="s">
        <v>128</v>
      </c>
      <c r="B414" s="13">
        <v>362266.83399999997</v>
      </c>
      <c r="C414" s="13">
        <v>1149269.0867999999</v>
      </c>
      <c r="D414" s="53">
        <f t="shared" si="2"/>
        <v>1511535.9208</v>
      </c>
    </row>
    <row r="415" spans="1:4" x14ac:dyDescent="0.3">
      <c r="A415" s="24" t="s">
        <v>126</v>
      </c>
      <c r="B415" s="13">
        <v>258705.32150100003</v>
      </c>
      <c r="C415" s="13">
        <v>328633.06971000007</v>
      </c>
      <c r="D415" s="53">
        <f t="shared" si="2"/>
        <v>587338.39121100004</v>
      </c>
    </row>
    <row r="416" spans="1:4" x14ac:dyDescent="0.3">
      <c r="A416" s="24" t="s">
        <v>124</v>
      </c>
      <c r="B416" s="13">
        <v>185142.38310000001</v>
      </c>
      <c r="C416" s="13">
        <v>383833.59259999997</v>
      </c>
      <c r="D416" s="53">
        <f t="shared" si="2"/>
        <v>568975.97569999995</v>
      </c>
    </row>
    <row r="417" spans="1:4" x14ac:dyDescent="0.3">
      <c r="A417" s="24" t="s">
        <v>131</v>
      </c>
      <c r="B417" s="13">
        <v>2599.297</v>
      </c>
      <c r="C417" s="13">
        <v>465233.33880000003</v>
      </c>
      <c r="D417" s="53">
        <f t="shared" si="2"/>
        <v>467832.63580000005</v>
      </c>
    </row>
    <row r="418" spans="1:4" x14ac:dyDescent="0.3">
      <c r="A418" s="24" t="s">
        <v>125</v>
      </c>
      <c r="B418" s="13">
        <v>82699.799600000013</v>
      </c>
      <c r="C418" s="13">
        <v>47585.079900000004</v>
      </c>
      <c r="D418" s="53">
        <f t="shared" si="2"/>
        <v>130284.87950000001</v>
      </c>
    </row>
    <row r="419" spans="1:4" x14ac:dyDescent="0.3">
      <c r="A419" s="24" t="s">
        <v>122</v>
      </c>
      <c r="B419" s="13">
        <v>86991.001600000003</v>
      </c>
      <c r="C419" s="13">
        <v>34197.5314</v>
      </c>
      <c r="D419" s="53">
        <f t="shared" si="2"/>
        <v>121188.533</v>
      </c>
    </row>
    <row r="420" spans="1:4" x14ac:dyDescent="0.3">
      <c r="A420" s="24" t="s">
        <v>117</v>
      </c>
      <c r="B420" s="13">
        <v>21677.004042</v>
      </c>
      <c r="C420" s="13">
        <v>52514.423736000004</v>
      </c>
      <c r="D420" s="53">
        <f t="shared" si="2"/>
        <v>74191.427778000012</v>
      </c>
    </row>
    <row r="421" spans="1:4" x14ac:dyDescent="0.3">
      <c r="A421" s="24" t="s">
        <v>127</v>
      </c>
      <c r="B421" s="13">
        <v>43200.598999999995</v>
      </c>
      <c r="C421" s="13">
        <v>29239.65</v>
      </c>
      <c r="D421" s="53">
        <f t="shared" si="2"/>
        <v>72440.248999999996</v>
      </c>
    </row>
    <row r="422" spans="1:4" x14ac:dyDescent="0.3">
      <c r="A422" s="24" t="s">
        <v>130</v>
      </c>
      <c r="B422" s="13">
        <v>12831.712</v>
      </c>
      <c r="C422" s="13">
        <v>38299.089200000002</v>
      </c>
      <c r="D422" s="53">
        <f t="shared" si="2"/>
        <v>51130.801200000002</v>
      </c>
    </row>
    <row r="423" spans="1:4" x14ac:dyDescent="0.3">
      <c r="A423" s="24" t="s">
        <v>129</v>
      </c>
      <c r="B423" s="13">
        <v>9109.2900000000027</v>
      </c>
      <c r="C423" s="13">
        <v>12455.05</v>
      </c>
      <c r="D423" s="53">
        <f t="shared" si="2"/>
        <v>21564.340000000004</v>
      </c>
    </row>
    <row r="424" spans="1:4" ht="14.4" thickBot="1" x14ac:dyDescent="0.35">
      <c r="A424" s="25" t="s">
        <v>123</v>
      </c>
      <c r="B424" s="14">
        <v>20081.1522</v>
      </c>
      <c r="C424" s="15">
        <v>0</v>
      </c>
      <c r="D424" s="54">
        <f t="shared" si="2"/>
        <v>20081.1522</v>
      </c>
    </row>
    <row r="427" spans="1:4" ht="14.4" thickBot="1" x14ac:dyDescent="0.35"/>
    <row r="428" spans="1:4" x14ac:dyDescent="0.3">
      <c r="A428" s="78" t="s">
        <v>114</v>
      </c>
      <c r="B428" s="80" t="s">
        <v>160</v>
      </c>
      <c r="C428" s="80" t="s">
        <v>161</v>
      </c>
      <c r="D428" s="82" t="s">
        <v>162</v>
      </c>
    </row>
    <row r="429" spans="1:4" ht="14.4" thickBot="1" x14ac:dyDescent="0.35">
      <c r="A429" s="79"/>
      <c r="B429" s="81"/>
      <c r="C429" s="81"/>
      <c r="D429" s="83"/>
    </row>
    <row r="430" spans="1:4" x14ac:dyDescent="0.3">
      <c r="A430" s="29" t="s">
        <v>158</v>
      </c>
      <c r="B430" s="40">
        <f>SUM(B431:B447)</f>
        <v>37233155.394866563</v>
      </c>
      <c r="C430" s="40">
        <f>SUM(C431:C447)</f>
        <v>37206533.543549657</v>
      </c>
      <c r="D430" s="67">
        <f>SUM(B430:C430)</f>
        <v>74439688.938416213</v>
      </c>
    </row>
    <row r="431" spans="1:4" x14ac:dyDescent="0.3">
      <c r="A431" s="24" t="s">
        <v>123</v>
      </c>
      <c r="B431" s="13">
        <v>6584963.9532722672</v>
      </c>
      <c r="C431" s="13">
        <v>16128561.176490624</v>
      </c>
      <c r="D431" s="53">
        <f t="shared" ref="D431:D447" si="3">SUM(B431:C431)</f>
        <v>22713525.129762892</v>
      </c>
    </row>
    <row r="432" spans="1:4" x14ac:dyDescent="0.3">
      <c r="A432" s="24" t="s">
        <v>129</v>
      </c>
      <c r="B432" s="13">
        <v>9260718.7474319097</v>
      </c>
      <c r="C432" s="13">
        <v>10427745.461109808</v>
      </c>
      <c r="D432" s="53">
        <f t="shared" si="3"/>
        <v>19688464.208541717</v>
      </c>
    </row>
    <row r="433" spans="1:4" x14ac:dyDescent="0.3">
      <c r="A433" s="24" t="s">
        <v>157</v>
      </c>
      <c r="B433" s="13">
        <v>15271606.249999998</v>
      </c>
      <c r="C433" s="13">
        <v>0</v>
      </c>
      <c r="D433" s="53">
        <f t="shared" si="3"/>
        <v>15271606.249999998</v>
      </c>
    </row>
    <row r="434" spans="1:4" x14ac:dyDescent="0.3">
      <c r="A434" s="24" t="s">
        <v>131</v>
      </c>
      <c r="B434" s="13">
        <v>1529518.2941634206</v>
      </c>
      <c r="C434" s="13">
        <v>1843997.1901029204</v>
      </c>
      <c r="D434" s="53">
        <f t="shared" si="3"/>
        <v>3373515.4842663407</v>
      </c>
    </row>
    <row r="435" spans="1:4" x14ac:dyDescent="0.3">
      <c r="A435" s="24" t="s">
        <v>128</v>
      </c>
      <c r="B435" s="13">
        <v>548301.01630758983</v>
      </c>
      <c r="C435" s="13">
        <v>2388831.3418377172</v>
      </c>
      <c r="D435" s="53">
        <f t="shared" si="3"/>
        <v>2937132.3581453068</v>
      </c>
    </row>
    <row r="436" spans="1:4" x14ac:dyDescent="0.3">
      <c r="A436" s="24" t="s">
        <v>117</v>
      </c>
      <c r="B436" s="13">
        <v>1262798.317810057</v>
      </c>
      <c r="C436" s="13">
        <v>1311362.9196045417</v>
      </c>
      <c r="D436" s="53">
        <f t="shared" si="3"/>
        <v>2574161.2374145985</v>
      </c>
    </row>
    <row r="437" spans="1:4" x14ac:dyDescent="0.3">
      <c r="A437" s="24" t="s">
        <v>130</v>
      </c>
      <c r="B437" s="13">
        <v>518702.61823542282</v>
      </c>
      <c r="C437" s="13">
        <v>1848520.2131726309</v>
      </c>
      <c r="D437" s="53">
        <f t="shared" si="3"/>
        <v>2367222.8314080536</v>
      </c>
    </row>
    <row r="438" spans="1:4" x14ac:dyDescent="0.3">
      <c r="A438" s="24" t="s">
        <v>116</v>
      </c>
      <c r="B438" s="13">
        <v>760193.28532226745</v>
      </c>
      <c r="C438" s="13">
        <v>1499164.6855577799</v>
      </c>
      <c r="D438" s="53">
        <f t="shared" si="3"/>
        <v>2259357.9708800474</v>
      </c>
    </row>
    <row r="439" spans="1:4" x14ac:dyDescent="0.3">
      <c r="A439" s="24" t="s">
        <v>120</v>
      </c>
      <c r="B439" s="13">
        <v>251814.31922500001</v>
      </c>
      <c r="C439" s="13">
        <v>791384.28109999991</v>
      </c>
      <c r="D439" s="53">
        <f t="shared" si="3"/>
        <v>1043198.6003249999</v>
      </c>
    </row>
    <row r="440" spans="1:4" x14ac:dyDescent="0.3">
      <c r="A440" s="24" t="s">
        <v>122</v>
      </c>
      <c r="B440" s="13">
        <v>115220.25159853</v>
      </c>
      <c r="C440" s="13">
        <v>317165.95917225</v>
      </c>
      <c r="D440" s="53">
        <f t="shared" si="3"/>
        <v>432386.21077077999</v>
      </c>
    </row>
    <row r="441" spans="1:4" x14ac:dyDescent="0.3">
      <c r="A441" s="24" t="s">
        <v>121</v>
      </c>
      <c r="B441" s="13">
        <v>139028.5982407988</v>
      </c>
      <c r="C441" s="13">
        <v>243152.83291962784</v>
      </c>
      <c r="D441" s="53">
        <f t="shared" si="3"/>
        <v>382181.43116042664</v>
      </c>
    </row>
    <row r="442" spans="1:4" x14ac:dyDescent="0.3">
      <c r="A442" s="24" t="s">
        <v>118</v>
      </c>
      <c r="B442" s="13">
        <v>292520.38380000001</v>
      </c>
      <c r="C442" s="13">
        <v>74564.01939999999</v>
      </c>
      <c r="D442" s="53">
        <f t="shared" si="3"/>
        <v>367084.4032</v>
      </c>
    </row>
    <row r="443" spans="1:4" x14ac:dyDescent="0.3">
      <c r="A443" s="24" t="s">
        <v>159</v>
      </c>
      <c r="B443" s="13">
        <v>195719.28811150297</v>
      </c>
      <c r="C443" s="13">
        <v>161834.09098714098</v>
      </c>
      <c r="D443" s="53">
        <f t="shared" si="3"/>
        <v>357553.37909864396</v>
      </c>
    </row>
    <row r="444" spans="1:4" x14ac:dyDescent="0.3">
      <c r="A444" s="24" t="s">
        <v>132</v>
      </c>
      <c r="B444" s="13">
        <v>298744.76899999997</v>
      </c>
      <c r="C444" s="13">
        <v>0</v>
      </c>
      <c r="D444" s="53">
        <f t="shared" si="3"/>
        <v>298744.76899999997</v>
      </c>
    </row>
    <row r="445" spans="1:4" x14ac:dyDescent="0.3">
      <c r="A445" s="24" t="s">
        <v>124</v>
      </c>
      <c r="B445" s="13">
        <v>115739.09879449249</v>
      </c>
      <c r="C445" s="13">
        <v>120794.73060677499</v>
      </c>
      <c r="D445" s="53">
        <f t="shared" si="3"/>
        <v>236533.82940126746</v>
      </c>
    </row>
    <row r="446" spans="1:4" x14ac:dyDescent="0.3">
      <c r="A446" s="24" t="s">
        <v>126</v>
      </c>
      <c r="B446" s="13">
        <v>70692.841472689994</v>
      </c>
      <c r="C446" s="13">
        <v>12878.9348962075</v>
      </c>
      <c r="D446" s="53">
        <f t="shared" si="3"/>
        <v>83571.776368897496</v>
      </c>
    </row>
    <row r="447" spans="1:4" x14ac:dyDescent="0.3">
      <c r="A447" s="24" t="s">
        <v>125</v>
      </c>
      <c r="B447" s="13">
        <v>16873.362080627503</v>
      </c>
      <c r="C447" s="13">
        <v>36575.706591639995</v>
      </c>
      <c r="D447" s="53">
        <f t="shared" si="3"/>
        <v>53449.068672267502</v>
      </c>
    </row>
    <row r="448" spans="1:4" x14ac:dyDescent="0.3">
      <c r="A448" s="24"/>
      <c r="B448" s="38"/>
      <c r="C448" s="38"/>
      <c r="D448" s="43"/>
    </row>
    <row r="449" spans="1:8" x14ac:dyDescent="0.3">
      <c r="A449" s="29" t="s">
        <v>163</v>
      </c>
      <c r="B449" s="40">
        <f>SUM(B450:B464)</f>
        <v>1527783.9736505998</v>
      </c>
      <c r="C449" s="40">
        <f>SUM(C450:C464)</f>
        <v>1959708.2451044458</v>
      </c>
      <c r="D449" s="67">
        <f>SUM(B449:C449)</f>
        <v>3487492.2187550459</v>
      </c>
    </row>
    <row r="450" spans="1:8" x14ac:dyDescent="0.3">
      <c r="A450" s="24" t="s">
        <v>116</v>
      </c>
      <c r="B450" s="13">
        <v>264657.30969785218</v>
      </c>
      <c r="C450" s="13">
        <v>524251.95376103168</v>
      </c>
      <c r="D450" s="53">
        <f t="shared" ref="D450:D464" si="4">SUM(B450:C450)</f>
        <v>788909.26345888386</v>
      </c>
    </row>
    <row r="451" spans="1:8" x14ac:dyDescent="0.3">
      <c r="A451" s="24" t="s">
        <v>125</v>
      </c>
      <c r="B451" s="13">
        <v>421823.59397443646</v>
      </c>
      <c r="C451" s="13">
        <v>96744.006039121508</v>
      </c>
      <c r="D451" s="53">
        <f t="shared" si="4"/>
        <v>518567.60001355794</v>
      </c>
    </row>
    <row r="452" spans="1:8" x14ac:dyDescent="0.3">
      <c r="A452" s="24" t="s">
        <v>121</v>
      </c>
      <c r="B452" s="13">
        <v>145691.69514238753</v>
      </c>
      <c r="C452" s="13">
        <v>269026.93256990559</v>
      </c>
      <c r="D452" s="53">
        <f t="shared" si="4"/>
        <v>414718.62771229312</v>
      </c>
    </row>
    <row r="453" spans="1:8" x14ac:dyDescent="0.3">
      <c r="A453" s="24" t="s">
        <v>123</v>
      </c>
      <c r="B453" s="13">
        <v>136033.73804719042</v>
      </c>
      <c r="C453" s="13">
        <v>186175.31122357532</v>
      </c>
      <c r="D453" s="53">
        <f t="shared" si="4"/>
        <v>322209.04927076574</v>
      </c>
    </row>
    <row r="454" spans="1:8" x14ac:dyDescent="0.3">
      <c r="A454" s="24" t="s">
        <v>124</v>
      </c>
      <c r="B454" s="13">
        <v>60235.3868413366</v>
      </c>
      <c r="C454" s="13">
        <v>252411.34991195853</v>
      </c>
      <c r="D454" s="53">
        <f t="shared" si="4"/>
        <v>312646.73675329512</v>
      </c>
    </row>
    <row r="455" spans="1:8" x14ac:dyDescent="0.3">
      <c r="A455" s="24" t="s">
        <v>128</v>
      </c>
      <c r="B455" s="13">
        <v>74194.994255175829</v>
      </c>
      <c r="C455" s="13">
        <v>229866.33382932629</v>
      </c>
      <c r="D455" s="53">
        <f t="shared" si="4"/>
        <v>304061.32808450214</v>
      </c>
    </row>
    <row r="456" spans="1:8" x14ac:dyDescent="0.3">
      <c r="A456" s="24" t="s">
        <v>126</v>
      </c>
      <c r="B456" s="13">
        <v>109550.06347087133</v>
      </c>
      <c r="C456" s="13">
        <v>149344.99050488128</v>
      </c>
      <c r="D456" s="53">
        <f t="shared" si="4"/>
        <v>258895.05397575261</v>
      </c>
    </row>
    <row r="457" spans="1:8" x14ac:dyDescent="0.3">
      <c r="A457" s="24" t="s">
        <v>131</v>
      </c>
      <c r="B457" s="13">
        <v>72683.232327473903</v>
      </c>
      <c r="C457" s="13">
        <v>103710.55707448511</v>
      </c>
      <c r="D457" s="53">
        <f t="shared" si="4"/>
        <v>176393.78940195902</v>
      </c>
    </row>
    <row r="458" spans="1:8" x14ac:dyDescent="0.3">
      <c r="A458" s="24" t="s">
        <v>132</v>
      </c>
      <c r="B458" s="13">
        <v>126473.02012196311</v>
      </c>
      <c r="C458" s="13">
        <v>0</v>
      </c>
      <c r="D458" s="53">
        <f t="shared" si="4"/>
        <v>126473.02012196311</v>
      </c>
    </row>
    <row r="459" spans="1:8" x14ac:dyDescent="0.3">
      <c r="A459" s="24" t="s">
        <v>129</v>
      </c>
      <c r="B459" s="13">
        <v>18845.895346082805</v>
      </c>
      <c r="C459" s="13">
        <v>60218.469134854553</v>
      </c>
      <c r="D459" s="53">
        <f t="shared" si="4"/>
        <v>79064.364480937365</v>
      </c>
    </row>
    <row r="460" spans="1:8" x14ac:dyDescent="0.3">
      <c r="A460" s="24" t="s">
        <v>130</v>
      </c>
      <c r="B460" s="13">
        <v>48155.771106314693</v>
      </c>
      <c r="C460" s="13">
        <v>19751.21452246765</v>
      </c>
      <c r="D460" s="53">
        <f t="shared" si="4"/>
        <v>67906.985628782335</v>
      </c>
    </row>
    <row r="461" spans="1:8" x14ac:dyDescent="0.3">
      <c r="A461" s="24" t="s">
        <v>117</v>
      </c>
      <c r="B461" s="13">
        <v>17685.620287802223</v>
      </c>
      <c r="C461" s="13">
        <v>42236.648268271958</v>
      </c>
      <c r="D461" s="53">
        <f t="shared" si="4"/>
        <v>59922.268556074181</v>
      </c>
    </row>
    <row r="462" spans="1:8" x14ac:dyDescent="0.3">
      <c r="A462" s="24" t="s">
        <v>122</v>
      </c>
      <c r="B462" s="13">
        <v>22088.278968931387</v>
      </c>
      <c r="C462" s="13">
        <v>12919.226479024603</v>
      </c>
      <c r="D462" s="53">
        <f t="shared" si="4"/>
        <v>35007.505447955991</v>
      </c>
    </row>
    <row r="463" spans="1:8" x14ac:dyDescent="0.3">
      <c r="A463" s="24" t="s">
        <v>127</v>
      </c>
      <c r="B463" s="13">
        <v>7345.923071456551</v>
      </c>
      <c r="C463" s="13">
        <v>4773.4506428496788</v>
      </c>
      <c r="D463" s="53">
        <f t="shared" si="4"/>
        <v>12119.37371430623</v>
      </c>
    </row>
    <row r="464" spans="1:8" x14ac:dyDescent="0.3">
      <c r="A464" s="24" t="s">
        <v>120</v>
      </c>
      <c r="B464" s="13">
        <v>2319.4509913247348</v>
      </c>
      <c r="C464" s="13">
        <v>8277.8011426918674</v>
      </c>
      <c r="D464" s="53">
        <f t="shared" si="4"/>
        <v>10597.252134016602</v>
      </c>
      <c r="H464" s="13"/>
    </row>
    <row r="465" spans="1:8" x14ac:dyDescent="0.3">
      <c r="A465" s="24"/>
      <c r="B465" s="38"/>
      <c r="C465" s="38"/>
      <c r="D465" s="43"/>
      <c r="H465" s="13"/>
    </row>
    <row r="466" spans="1:8" ht="14.4" thickBot="1" x14ac:dyDescent="0.35">
      <c r="A466" s="24"/>
      <c r="B466" s="38"/>
      <c r="C466" s="38"/>
      <c r="D466" s="43"/>
      <c r="H466" s="13"/>
    </row>
    <row r="467" spans="1:8" x14ac:dyDescent="0.3">
      <c r="A467" s="78" t="s">
        <v>114</v>
      </c>
      <c r="B467" s="80" t="s">
        <v>153</v>
      </c>
      <c r="C467" s="80" t="s">
        <v>154</v>
      </c>
      <c r="D467" s="82" t="s">
        <v>155</v>
      </c>
      <c r="H467" s="13"/>
    </row>
    <row r="468" spans="1:8" ht="14.4" thickBot="1" x14ac:dyDescent="0.35">
      <c r="A468" s="79"/>
      <c r="B468" s="81"/>
      <c r="C468" s="81"/>
      <c r="D468" s="83"/>
      <c r="H468" s="13"/>
    </row>
    <row r="469" spans="1:8" x14ac:dyDescent="0.3">
      <c r="A469" s="29" t="s">
        <v>150</v>
      </c>
      <c r="B469" s="40">
        <f>SUM(B470:B479)</f>
        <v>793750046.24296451</v>
      </c>
      <c r="C469" s="40">
        <f>SUM(C470:C479)</f>
        <v>633253812.22594881</v>
      </c>
      <c r="D469" s="67">
        <f>SUM(B469:C469)</f>
        <v>1427003858.4689133</v>
      </c>
      <c r="H469" s="13"/>
    </row>
    <row r="470" spans="1:8" x14ac:dyDescent="0.3">
      <c r="A470" s="24" t="s">
        <v>122</v>
      </c>
      <c r="B470" s="13">
        <v>778492547.85629916</v>
      </c>
      <c r="C470" s="13">
        <v>265020447.84842518</v>
      </c>
      <c r="D470" s="53">
        <f t="shared" ref="D470:D479" si="5">SUM(B470:C470)</f>
        <v>1043512995.7047243</v>
      </c>
      <c r="H470" s="13"/>
    </row>
    <row r="471" spans="1:8" x14ac:dyDescent="0.3">
      <c r="A471" s="24" t="s">
        <v>117</v>
      </c>
      <c r="B471" s="13">
        <v>19291.338582677166</v>
      </c>
      <c r="C471" s="13">
        <v>362096064.28937006</v>
      </c>
      <c r="D471" s="53">
        <f t="shared" si="5"/>
        <v>362115355.62795275</v>
      </c>
      <c r="H471" s="13"/>
    </row>
    <row r="472" spans="1:8" x14ac:dyDescent="0.3">
      <c r="A472" s="24" t="s">
        <v>126</v>
      </c>
      <c r="B472" s="13">
        <v>13649596.929133859</v>
      </c>
      <c r="C472" s="13">
        <v>931618.24803149607</v>
      </c>
      <c r="D472" s="53">
        <f t="shared" si="5"/>
        <v>14581215.177165356</v>
      </c>
      <c r="H472" s="13"/>
    </row>
    <row r="473" spans="1:8" x14ac:dyDescent="0.3">
      <c r="A473" s="24" t="s">
        <v>124</v>
      </c>
      <c r="B473" s="13">
        <v>521802.66496062995</v>
      </c>
      <c r="C473" s="13">
        <v>2421437.6905511813</v>
      </c>
      <c r="D473" s="53">
        <f t="shared" si="5"/>
        <v>2943240.3555118111</v>
      </c>
      <c r="H473" s="13"/>
    </row>
    <row r="474" spans="1:8" x14ac:dyDescent="0.3">
      <c r="A474" s="24" t="s">
        <v>121</v>
      </c>
      <c r="B474" s="13">
        <v>507189.02091732284</v>
      </c>
      <c r="C474" s="13">
        <v>1746031.2838228347</v>
      </c>
      <c r="D474" s="53">
        <f t="shared" si="5"/>
        <v>2253220.3047401574</v>
      </c>
    </row>
    <row r="475" spans="1:8" x14ac:dyDescent="0.3">
      <c r="A475" s="24" t="s">
        <v>120</v>
      </c>
      <c r="B475" s="13">
        <v>269695.40157480311</v>
      </c>
      <c r="C475" s="13">
        <v>645998.29881889769</v>
      </c>
      <c r="D475" s="53">
        <f t="shared" si="5"/>
        <v>915693.70039370074</v>
      </c>
    </row>
    <row r="476" spans="1:8" x14ac:dyDescent="0.3">
      <c r="A476" s="24" t="s">
        <v>116</v>
      </c>
      <c r="B476" s="13">
        <v>204822.83464566927</v>
      </c>
      <c r="C476" s="13">
        <v>293700.78740157478</v>
      </c>
      <c r="D476" s="53">
        <f t="shared" si="5"/>
        <v>498523.62204724405</v>
      </c>
    </row>
    <row r="477" spans="1:8" x14ac:dyDescent="0.3">
      <c r="A477" s="24" t="s">
        <v>128</v>
      </c>
      <c r="B477" s="13">
        <v>77755.905511811026</v>
      </c>
      <c r="C477" s="13">
        <v>60039.370078740154</v>
      </c>
      <c r="D477" s="53">
        <f t="shared" si="5"/>
        <v>137795.27559055117</v>
      </c>
    </row>
    <row r="478" spans="1:8" x14ac:dyDescent="0.3">
      <c r="A478" s="24" t="s">
        <v>129</v>
      </c>
      <c r="B478" s="13">
        <v>3688.6811023622049</v>
      </c>
      <c r="C478" s="13">
        <v>35521.653543307089</v>
      </c>
      <c r="D478" s="53">
        <f t="shared" si="5"/>
        <v>39210.334645669296</v>
      </c>
    </row>
    <row r="479" spans="1:8" x14ac:dyDescent="0.3">
      <c r="A479" s="24" t="s">
        <v>118</v>
      </c>
      <c r="B479" s="13">
        <v>3655.6102362204724</v>
      </c>
      <c r="C479" s="13">
        <v>2952.7559055118113</v>
      </c>
      <c r="D479" s="53">
        <f t="shared" si="5"/>
        <v>6608.3661417322837</v>
      </c>
    </row>
    <row r="480" spans="1:8" x14ac:dyDescent="0.3">
      <c r="A480" s="24"/>
      <c r="B480" s="38"/>
      <c r="C480" s="38"/>
      <c r="D480" s="43"/>
    </row>
    <row r="481" spans="1:8" x14ac:dyDescent="0.3">
      <c r="A481" s="3" t="s">
        <v>164</v>
      </c>
      <c r="B481" s="68">
        <f>SUM(B482:B487)</f>
        <v>1570640.6639</v>
      </c>
      <c r="C481" s="68">
        <f>SUM(C482:C487)</f>
        <v>1484522.0358</v>
      </c>
      <c r="D481" s="69">
        <f>SUM(B481:C481)</f>
        <v>3055162.6996999998</v>
      </c>
      <c r="E481" s="2"/>
      <c r="F481" s="2"/>
      <c r="H481" s="13"/>
    </row>
    <row r="482" spans="1:8" x14ac:dyDescent="0.3">
      <c r="A482" s="4" t="s">
        <v>124</v>
      </c>
      <c r="B482" s="13">
        <v>480000</v>
      </c>
      <c r="C482" s="13">
        <v>600000</v>
      </c>
      <c r="D482" s="70">
        <f t="shared" ref="D482:D487" si="6">SUM(B482:C482)</f>
        <v>1080000</v>
      </c>
      <c r="E482" s="2"/>
      <c r="F482" s="2"/>
      <c r="H482" s="13"/>
    </row>
    <row r="483" spans="1:8" x14ac:dyDescent="0.3">
      <c r="A483" s="4" t="s">
        <v>120</v>
      </c>
      <c r="B483" s="13">
        <v>532899.80000000005</v>
      </c>
      <c r="C483" s="13">
        <v>137620.20000000001</v>
      </c>
      <c r="D483" s="70">
        <f t="shared" si="6"/>
        <v>670520</v>
      </c>
      <c r="H483" s="13"/>
    </row>
    <row r="484" spans="1:8" x14ac:dyDescent="0.3">
      <c r="A484" s="4" t="s">
        <v>118</v>
      </c>
      <c r="B484" s="13">
        <v>294817.28999999998</v>
      </c>
      <c r="C484" s="13">
        <v>287513.55479999998</v>
      </c>
      <c r="D484" s="70">
        <f t="shared" si="6"/>
        <v>582330.84479999996</v>
      </c>
      <c r="H484" s="13"/>
    </row>
    <row r="485" spans="1:8" x14ac:dyDescent="0.3">
      <c r="A485" s="4" t="s">
        <v>117</v>
      </c>
      <c r="B485" s="13">
        <v>199026.73300000001</v>
      </c>
      <c r="C485" s="13">
        <v>299725.04519999999</v>
      </c>
      <c r="D485" s="70">
        <f t="shared" si="6"/>
        <v>498751.7782</v>
      </c>
      <c r="H485" s="13"/>
    </row>
    <row r="486" spans="1:8" x14ac:dyDescent="0.3">
      <c r="A486" s="4" t="s">
        <v>116</v>
      </c>
      <c r="B486" s="13">
        <v>28000</v>
      </c>
      <c r="C486" s="13">
        <v>120800</v>
      </c>
      <c r="D486" s="70">
        <f t="shared" si="6"/>
        <v>148800</v>
      </c>
      <c r="H486" s="13"/>
    </row>
    <row r="487" spans="1:8" x14ac:dyDescent="0.3">
      <c r="A487" s="4" t="s">
        <v>131</v>
      </c>
      <c r="B487" s="13">
        <v>35896.840899999996</v>
      </c>
      <c r="C487" s="13">
        <v>38863.235800000002</v>
      </c>
      <c r="D487" s="70">
        <f t="shared" si="6"/>
        <v>74760.076700000005</v>
      </c>
    </row>
    <row r="488" spans="1:8" x14ac:dyDescent="0.3">
      <c r="A488" s="24"/>
      <c r="B488" s="13"/>
      <c r="C488" s="13"/>
      <c r="D488" s="53"/>
    </row>
    <row r="489" spans="1:8" x14ac:dyDescent="0.3">
      <c r="A489" s="24"/>
      <c r="B489" s="13"/>
      <c r="C489" s="13"/>
      <c r="D489" s="53"/>
    </row>
    <row r="490" spans="1:8" x14ac:dyDescent="0.3">
      <c r="A490" s="29" t="s">
        <v>152</v>
      </c>
      <c r="B490" s="40">
        <f>B491</f>
        <v>41332.627</v>
      </c>
      <c r="C490" s="40">
        <f>C491</f>
        <v>39165.273999999998</v>
      </c>
      <c r="D490" s="67">
        <f>SUM(B490:C490)</f>
        <v>80497.900999999998</v>
      </c>
    </row>
    <row r="491" spans="1:8" ht="14.4" thickBot="1" x14ac:dyDescent="0.35">
      <c r="A491" s="41" t="s">
        <v>128</v>
      </c>
      <c r="B491" s="14">
        <v>41332.627</v>
      </c>
      <c r="C491" s="15">
        <v>39165.273999999998</v>
      </c>
      <c r="D491" s="54">
        <f>SUM(B491:C491)</f>
        <v>80497.900999999998</v>
      </c>
    </row>
    <row r="493" spans="1:8" x14ac:dyDescent="0.3">
      <c r="A493" s="77" t="s">
        <v>415</v>
      </c>
      <c r="B493" s="77"/>
      <c r="C493" s="77"/>
      <c r="D493" s="77"/>
      <c r="E493" s="77"/>
      <c r="F493" s="77"/>
    </row>
    <row r="494" spans="1:8" x14ac:dyDescent="0.3">
      <c r="A494" s="77"/>
      <c r="B494" s="77"/>
      <c r="C494" s="77"/>
      <c r="D494" s="77"/>
      <c r="E494" s="77"/>
      <c r="F494" s="77"/>
    </row>
    <row r="496" spans="1:8" ht="14.4" thickBot="1" x14ac:dyDescent="0.35"/>
    <row r="497" spans="1:13" ht="14.4" thickBot="1" x14ac:dyDescent="0.35">
      <c r="A497" s="102" t="s">
        <v>165</v>
      </c>
      <c r="B497" s="104">
        <v>2010</v>
      </c>
      <c r="C497" s="104"/>
      <c r="D497" s="104"/>
      <c r="E497" s="104">
        <v>2011</v>
      </c>
      <c r="F497" s="104"/>
      <c r="G497" s="104"/>
      <c r="H497" s="104">
        <v>2012</v>
      </c>
      <c r="I497" s="104"/>
      <c r="J497" s="104"/>
      <c r="K497" s="104">
        <v>2013</v>
      </c>
      <c r="L497" s="104"/>
      <c r="M497" s="110"/>
    </row>
    <row r="498" spans="1:13" x14ac:dyDescent="0.3">
      <c r="A498" s="103"/>
      <c r="B498" s="111" t="s">
        <v>166</v>
      </c>
      <c r="C498" s="111" t="s">
        <v>167</v>
      </c>
      <c r="D498" s="111" t="s">
        <v>168</v>
      </c>
      <c r="E498" s="111" t="s">
        <v>166</v>
      </c>
      <c r="F498" s="111" t="s">
        <v>167</v>
      </c>
      <c r="G498" s="111" t="s">
        <v>168</v>
      </c>
      <c r="H498" s="111" t="s">
        <v>166</v>
      </c>
      <c r="I498" s="111" t="s">
        <v>167</v>
      </c>
      <c r="J498" s="111" t="s">
        <v>168</v>
      </c>
      <c r="K498" s="111" t="s">
        <v>166</v>
      </c>
      <c r="L498" s="111" t="s">
        <v>167</v>
      </c>
      <c r="M498" s="113" t="s">
        <v>168</v>
      </c>
    </row>
    <row r="499" spans="1:13" ht="14.4" thickBot="1" x14ac:dyDescent="0.35">
      <c r="A499" s="103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4"/>
    </row>
    <row r="500" spans="1:13" x14ac:dyDescent="0.3">
      <c r="A500" s="24" t="s">
        <v>169</v>
      </c>
      <c r="B500" s="38"/>
      <c r="C500" s="38"/>
      <c r="D500" s="38"/>
      <c r="E500" s="38"/>
      <c r="F500" s="38"/>
      <c r="G500" s="38"/>
      <c r="H500" s="38"/>
      <c r="I500" s="38"/>
      <c r="J500" s="38"/>
      <c r="K500" s="38">
        <v>1</v>
      </c>
      <c r="L500" s="38"/>
      <c r="M500" s="43">
        <v>3</v>
      </c>
    </row>
    <row r="501" spans="1:13" x14ac:dyDescent="0.3">
      <c r="A501" s="24" t="s">
        <v>170</v>
      </c>
      <c r="B501" s="38"/>
      <c r="C501" s="38"/>
      <c r="D501" s="38"/>
      <c r="E501" s="38"/>
      <c r="F501" s="38"/>
      <c r="G501" s="38"/>
      <c r="H501" s="38"/>
      <c r="I501" s="38"/>
      <c r="J501" s="38"/>
      <c r="K501" s="38">
        <v>1</v>
      </c>
      <c r="L501" s="38"/>
      <c r="M501" s="43">
        <v>3</v>
      </c>
    </row>
    <row r="502" spans="1:13" x14ac:dyDescent="0.3">
      <c r="A502" s="24" t="s">
        <v>171</v>
      </c>
      <c r="B502" s="38"/>
      <c r="C502" s="38"/>
      <c r="D502" s="38"/>
      <c r="E502" s="38"/>
      <c r="F502" s="38"/>
      <c r="G502" s="38"/>
      <c r="H502" s="38"/>
      <c r="I502" s="38"/>
      <c r="J502" s="38"/>
      <c r="K502" s="38">
        <v>1</v>
      </c>
      <c r="L502" s="38"/>
      <c r="M502" s="43">
        <v>4</v>
      </c>
    </row>
    <row r="503" spans="1:13" x14ac:dyDescent="0.3">
      <c r="A503" s="24" t="s">
        <v>172</v>
      </c>
      <c r="B503" s="38"/>
      <c r="C503" s="38"/>
      <c r="D503" s="38"/>
      <c r="E503" s="38"/>
      <c r="F503" s="38"/>
      <c r="G503" s="38"/>
      <c r="H503" s="38"/>
      <c r="I503" s="38"/>
      <c r="J503" s="38"/>
      <c r="K503" s="38">
        <v>1</v>
      </c>
      <c r="L503" s="38"/>
      <c r="M503" s="43">
        <v>5</v>
      </c>
    </row>
    <row r="504" spans="1:13" x14ac:dyDescent="0.3">
      <c r="A504" s="24" t="s">
        <v>173</v>
      </c>
      <c r="B504" s="38"/>
      <c r="C504" s="38"/>
      <c r="D504" s="38"/>
      <c r="E504" s="38"/>
      <c r="F504" s="38"/>
      <c r="G504" s="38"/>
      <c r="H504" s="38"/>
      <c r="I504" s="38"/>
      <c r="J504" s="38"/>
      <c r="K504" s="38">
        <v>2</v>
      </c>
      <c r="L504" s="38"/>
      <c r="M504" s="43">
        <v>3</v>
      </c>
    </row>
    <row r="505" spans="1:13" x14ac:dyDescent="0.3">
      <c r="A505" s="24" t="s">
        <v>174</v>
      </c>
      <c r="B505" s="38"/>
      <c r="C505" s="38"/>
      <c r="D505" s="38"/>
      <c r="E505" s="38"/>
      <c r="F505" s="38"/>
      <c r="G505" s="38"/>
      <c r="H505" s="38"/>
      <c r="I505" s="38"/>
      <c r="J505" s="38"/>
      <c r="K505" s="38">
        <v>2</v>
      </c>
      <c r="L505" s="38"/>
      <c r="M505" s="43">
        <v>3</v>
      </c>
    </row>
    <row r="506" spans="1:13" x14ac:dyDescent="0.3">
      <c r="A506" s="24" t="s">
        <v>175</v>
      </c>
      <c r="B506" s="38"/>
      <c r="C506" s="38"/>
      <c r="D506" s="38"/>
      <c r="E506" s="38"/>
      <c r="F506" s="38"/>
      <c r="G506" s="38"/>
      <c r="H506" s="38"/>
      <c r="I506" s="38"/>
      <c r="J506" s="38"/>
      <c r="K506" s="38">
        <v>2</v>
      </c>
      <c r="L506" s="38"/>
      <c r="M506" s="43">
        <v>4</v>
      </c>
    </row>
    <row r="507" spans="1:13" x14ac:dyDescent="0.3">
      <c r="A507" s="24" t="s">
        <v>176</v>
      </c>
      <c r="B507" s="38"/>
      <c r="C507" s="38"/>
      <c r="D507" s="38"/>
      <c r="E507" s="38"/>
      <c r="F507" s="38"/>
      <c r="G507" s="38"/>
      <c r="H507" s="38"/>
      <c r="I507" s="38"/>
      <c r="J507" s="38"/>
      <c r="K507" s="38">
        <v>2</v>
      </c>
      <c r="L507" s="38"/>
      <c r="M507" s="43">
        <v>8</v>
      </c>
    </row>
    <row r="508" spans="1:13" x14ac:dyDescent="0.3">
      <c r="A508" s="24" t="s">
        <v>177</v>
      </c>
      <c r="B508" s="38"/>
      <c r="C508" s="38"/>
      <c r="D508" s="38"/>
      <c r="E508" s="38"/>
      <c r="F508" s="38"/>
      <c r="G508" s="38"/>
      <c r="H508" s="38"/>
      <c r="I508" s="38"/>
      <c r="J508" s="38"/>
      <c r="K508" s="38">
        <v>2</v>
      </c>
      <c r="L508" s="38"/>
      <c r="M508" s="43">
        <v>9</v>
      </c>
    </row>
    <row r="509" spans="1:13" x14ac:dyDescent="0.3">
      <c r="A509" s="24" t="s">
        <v>178</v>
      </c>
      <c r="B509" s="38"/>
      <c r="C509" s="38"/>
      <c r="D509" s="38"/>
      <c r="E509" s="38"/>
      <c r="F509" s="38"/>
      <c r="G509" s="38"/>
      <c r="H509" s="38"/>
      <c r="I509" s="38"/>
      <c r="J509" s="38"/>
      <c r="K509" s="38">
        <v>5</v>
      </c>
      <c r="L509" s="38"/>
      <c r="M509" s="43">
        <v>17</v>
      </c>
    </row>
    <row r="510" spans="1:13" ht="14.4" thickBot="1" x14ac:dyDescent="0.35">
      <c r="A510" s="25" t="s">
        <v>179</v>
      </c>
      <c r="B510" s="42"/>
      <c r="C510" s="23"/>
      <c r="D510" s="23"/>
      <c r="E510" s="23"/>
      <c r="F510" s="23"/>
      <c r="G510" s="23"/>
      <c r="H510" s="23"/>
      <c r="I510" s="23"/>
      <c r="J510" s="23"/>
      <c r="K510" s="23">
        <v>3</v>
      </c>
      <c r="L510" s="23"/>
      <c r="M510" s="45">
        <v>9</v>
      </c>
    </row>
    <row r="513" spans="1:6" x14ac:dyDescent="0.3">
      <c r="A513" s="77" t="s">
        <v>416</v>
      </c>
      <c r="B513" s="77"/>
      <c r="C513" s="77"/>
      <c r="D513" s="77"/>
      <c r="E513" s="77"/>
      <c r="F513" s="77"/>
    </row>
    <row r="514" spans="1:6" x14ac:dyDescent="0.3">
      <c r="A514" s="77"/>
      <c r="B514" s="77"/>
      <c r="C514" s="77"/>
      <c r="D514" s="77"/>
      <c r="E514" s="77"/>
      <c r="F514" s="77"/>
    </row>
    <row r="515" spans="1:6" ht="14.4" thickBot="1" x14ac:dyDescent="0.35"/>
    <row r="516" spans="1:6" ht="14.4" thickBot="1" x14ac:dyDescent="0.35">
      <c r="A516" s="105" t="s">
        <v>180</v>
      </c>
      <c r="B516" s="107" t="s">
        <v>181</v>
      </c>
      <c r="C516" s="108" t="s">
        <v>182</v>
      </c>
      <c r="D516" s="105" t="s">
        <v>180</v>
      </c>
      <c r="E516" s="107" t="s">
        <v>181</v>
      </c>
      <c r="F516" s="109" t="s">
        <v>183</v>
      </c>
    </row>
    <row r="517" spans="1:6" ht="14.4" thickBot="1" x14ac:dyDescent="0.35">
      <c r="A517" s="106"/>
      <c r="B517" s="107"/>
      <c r="C517" s="108"/>
      <c r="D517" s="106"/>
      <c r="E517" s="107"/>
      <c r="F517" s="109"/>
    </row>
    <row r="518" spans="1:6" x14ac:dyDescent="0.3">
      <c r="A518" s="71"/>
      <c r="B518" s="43" t="s">
        <v>49</v>
      </c>
      <c r="C518" s="13">
        <f>SUM(C519:C529)</f>
        <v>17900</v>
      </c>
      <c r="D518" s="38"/>
      <c r="E518" s="38" t="s">
        <v>49</v>
      </c>
      <c r="F518" s="53">
        <f>SUM(F519:F529)</f>
        <v>840235.47672123148</v>
      </c>
    </row>
    <row r="519" spans="1:6" x14ac:dyDescent="0.3">
      <c r="A519" s="71">
        <v>1</v>
      </c>
      <c r="B519" s="43" t="s">
        <v>184</v>
      </c>
      <c r="C519" s="13">
        <v>5700</v>
      </c>
      <c r="D519" s="38">
        <v>1</v>
      </c>
      <c r="E519" s="38" t="s">
        <v>195</v>
      </c>
      <c r="F519" s="53">
        <v>173613.78</v>
      </c>
    </row>
    <row r="520" spans="1:6" x14ac:dyDescent="0.3">
      <c r="A520" s="71">
        <v>2</v>
      </c>
      <c r="B520" s="43" t="s">
        <v>185</v>
      </c>
      <c r="C520" s="13">
        <v>1650</v>
      </c>
      <c r="D520" s="38">
        <v>2</v>
      </c>
      <c r="E520" s="38" t="s">
        <v>185</v>
      </c>
      <c r="F520" s="53">
        <v>128602.8</v>
      </c>
    </row>
    <row r="521" spans="1:6" x14ac:dyDescent="0.3">
      <c r="A521" s="71">
        <v>3</v>
      </c>
      <c r="B521" s="43" t="s">
        <v>186</v>
      </c>
      <c r="C521" s="13">
        <v>1376</v>
      </c>
      <c r="D521" s="38">
        <v>3</v>
      </c>
      <c r="E521" s="38" t="s">
        <v>186</v>
      </c>
      <c r="F521" s="53">
        <v>118130.75472123144</v>
      </c>
    </row>
    <row r="522" spans="1:6" x14ac:dyDescent="0.3">
      <c r="A522" s="71">
        <v>4</v>
      </c>
      <c r="B522" s="43" t="s">
        <v>187</v>
      </c>
      <c r="C522" s="13">
        <v>1220</v>
      </c>
      <c r="D522" s="38">
        <v>4</v>
      </c>
      <c r="E522" s="38" t="s">
        <v>196</v>
      </c>
      <c r="F522" s="53">
        <v>54656.19</v>
      </c>
    </row>
    <row r="523" spans="1:6" x14ac:dyDescent="0.3">
      <c r="A523" s="71">
        <v>5</v>
      </c>
      <c r="B523" s="43" t="s">
        <v>188</v>
      </c>
      <c r="C523" s="13">
        <v>990</v>
      </c>
      <c r="D523" s="38">
        <v>5</v>
      </c>
      <c r="E523" s="38" t="s">
        <v>189</v>
      </c>
      <c r="F523" s="53">
        <v>54656.19</v>
      </c>
    </row>
    <row r="524" spans="1:6" x14ac:dyDescent="0.3">
      <c r="A524" s="71">
        <v>6</v>
      </c>
      <c r="B524" s="43" t="s">
        <v>189</v>
      </c>
      <c r="C524" s="13">
        <v>930</v>
      </c>
      <c r="D524" s="38">
        <v>6</v>
      </c>
      <c r="E524" s="38" t="s">
        <v>197</v>
      </c>
      <c r="F524" s="53">
        <v>38580.840000000004</v>
      </c>
    </row>
    <row r="525" spans="1:6" x14ac:dyDescent="0.3">
      <c r="A525" s="71">
        <v>7</v>
      </c>
      <c r="B525" s="43" t="s">
        <v>190</v>
      </c>
      <c r="C525" s="13">
        <v>900</v>
      </c>
      <c r="D525" s="38">
        <v>7</v>
      </c>
      <c r="E525" s="38" t="s">
        <v>198</v>
      </c>
      <c r="F525" s="53">
        <v>38580.840000000004</v>
      </c>
    </row>
    <row r="526" spans="1:6" x14ac:dyDescent="0.3">
      <c r="A526" s="71">
        <v>8</v>
      </c>
      <c r="B526" s="43" t="s">
        <v>191</v>
      </c>
      <c r="C526" s="13">
        <v>830</v>
      </c>
      <c r="D526" s="38">
        <v>8</v>
      </c>
      <c r="E526" s="38" t="s">
        <v>184</v>
      </c>
      <c r="F526" s="53">
        <v>36973.305</v>
      </c>
    </row>
    <row r="527" spans="1:6" x14ac:dyDescent="0.3">
      <c r="A527" s="71">
        <v>9</v>
      </c>
      <c r="B527" s="43" t="s">
        <v>192</v>
      </c>
      <c r="C527" s="13">
        <v>630</v>
      </c>
      <c r="D527" s="38">
        <v>9</v>
      </c>
      <c r="E527" s="38" t="s">
        <v>187</v>
      </c>
      <c r="F527" s="53">
        <v>35044.262999999999</v>
      </c>
    </row>
    <row r="528" spans="1:6" x14ac:dyDescent="0.3">
      <c r="A528" s="71">
        <v>10</v>
      </c>
      <c r="B528" s="43" t="s">
        <v>193</v>
      </c>
      <c r="C528" s="13">
        <v>480</v>
      </c>
      <c r="D528" s="38">
        <v>10</v>
      </c>
      <c r="E528" s="38" t="s">
        <v>192</v>
      </c>
      <c r="F528" s="53">
        <v>23148.504000000001</v>
      </c>
    </row>
    <row r="529" spans="1:6" ht="14.4" thickBot="1" x14ac:dyDescent="0.35">
      <c r="A529" s="71"/>
      <c r="B529" s="5" t="s">
        <v>194</v>
      </c>
      <c r="C529" s="13">
        <v>3194</v>
      </c>
      <c r="D529" s="38"/>
      <c r="E529" s="38" t="s">
        <v>194</v>
      </c>
      <c r="F529" s="53">
        <v>138248.01</v>
      </c>
    </row>
    <row r="530" spans="1:6" ht="14.4" thickBot="1" x14ac:dyDescent="0.35">
      <c r="A530" s="105" t="s">
        <v>180</v>
      </c>
      <c r="B530" s="107" t="s">
        <v>181</v>
      </c>
      <c r="C530" s="108" t="s">
        <v>199</v>
      </c>
      <c r="D530" s="105" t="s">
        <v>180</v>
      </c>
      <c r="E530" s="107" t="s">
        <v>181</v>
      </c>
      <c r="F530" s="109" t="s">
        <v>200</v>
      </c>
    </row>
    <row r="531" spans="1:6" ht="14.4" thickBot="1" x14ac:dyDescent="0.35">
      <c r="A531" s="106"/>
      <c r="B531" s="107"/>
      <c r="C531" s="108"/>
      <c r="D531" s="106"/>
      <c r="E531" s="107"/>
      <c r="F531" s="109"/>
    </row>
    <row r="532" spans="1:6" x14ac:dyDescent="0.3">
      <c r="A532" s="71"/>
      <c r="B532" s="44" t="s">
        <v>49</v>
      </c>
      <c r="C532" s="13">
        <f>SUM(C533:C543)</f>
        <v>13511</v>
      </c>
      <c r="D532" s="38"/>
      <c r="E532" s="38" t="s">
        <v>49</v>
      </c>
      <c r="F532" s="53">
        <f>SUM(F533:F543)</f>
        <v>227208</v>
      </c>
    </row>
    <row r="533" spans="1:6" x14ac:dyDescent="0.3">
      <c r="A533" s="71">
        <v>1</v>
      </c>
      <c r="B533" s="43" t="s">
        <v>185</v>
      </c>
      <c r="C533" s="13">
        <v>5000</v>
      </c>
      <c r="D533" s="38">
        <v>1</v>
      </c>
      <c r="E533" s="38" t="s">
        <v>185</v>
      </c>
      <c r="F533" s="53">
        <v>100000</v>
      </c>
    </row>
    <row r="534" spans="1:6" x14ac:dyDescent="0.3">
      <c r="A534" s="71">
        <v>2</v>
      </c>
      <c r="B534" s="43" t="s">
        <v>196</v>
      </c>
      <c r="C534" s="13">
        <v>1400</v>
      </c>
      <c r="D534" s="38">
        <v>2</v>
      </c>
      <c r="E534" s="38" t="s">
        <v>204</v>
      </c>
      <c r="F534" s="53">
        <v>40000</v>
      </c>
    </row>
    <row r="535" spans="1:6" x14ac:dyDescent="0.3">
      <c r="A535" s="71">
        <v>3</v>
      </c>
      <c r="B535" s="43" t="s">
        <v>186</v>
      </c>
      <c r="C535" s="13">
        <v>1351</v>
      </c>
      <c r="D535" s="38">
        <v>3</v>
      </c>
      <c r="E535" s="38" t="s">
        <v>186</v>
      </c>
      <c r="F535" s="53">
        <v>23668</v>
      </c>
    </row>
    <row r="536" spans="1:6" x14ac:dyDescent="0.3">
      <c r="A536" s="71">
        <v>4</v>
      </c>
      <c r="B536" s="43" t="s">
        <v>201</v>
      </c>
      <c r="C536" s="13">
        <v>800</v>
      </c>
      <c r="D536" s="38">
        <v>4</v>
      </c>
      <c r="E536" s="38" t="s">
        <v>197</v>
      </c>
      <c r="F536" s="53">
        <v>18000</v>
      </c>
    </row>
    <row r="537" spans="1:6" x14ac:dyDescent="0.3">
      <c r="A537" s="71">
        <v>5</v>
      </c>
      <c r="B537" s="43" t="s">
        <v>187</v>
      </c>
      <c r="C537" s="13">
        <v>760</v>
      </c>
      <c r="D537" s="38">
        <v>5</v>
      </c>
      <c r="E537" s="38" t="s">
        <v>205</v>
      </c>
      <c r="F537" s="53">
        <v>11900</v>
      </c>
    </row>
    <row r="538" spans="1:6" x14ac:dyDescent="0.3">
      <c r="A538" s="71">
        <v>6</v>
      </c>
      <c r="B538" s="43" t="s">
        <v>195</v>
      </c>
      <c r="C538" s="13">
        <v>600</v>
      </c>
      <c r="D538" s="38">
        <v>6</v>
      </c>
      <c r="E538" s="38" t="s">
        <v>206</v>
      </c>
      <c r="F538" s="53">
        <v>11000</v>
      </c>
    </row>
    <row r="539" spans="1:6" x14ac:dyDescent="0.3">
      <c r="A539" s="71">
        <v>7</v>
      </c>
      <c r="B539" s="43" t="s">
        <v>192</v>
      </c>
      <c r="C539" s="13">
        <v>550</v>
      </c>
      <c r="D539" s="38">
        <v>7</v>
      </c>
      <c r="E539" s="38" t="s">
        <v>196</v>
      </c>
      <c r="F539" s="53">
        <v>5900</v>
      </c>
    </row>
    <row r="540" spans="1:6" x14ac:dyDescent="0.3">
      <c r="A540" s="71">
        <v>8</v>
      </c>
      <c r="B540" s="43" t="s">
        <v>197</v>
      </c>
      <c r="C540" s="13">
        <v>400</v>
      </c>
      <c r="D540" s="38">
        <v>8</v>
      </c>
      <c r="E540" s="38" t="s">
        <v>207</v>
      </c>
      <c r="F540" s="53">
        <v>5400</v>
      </c>
    </row>
    <row r="541" spans="1:6" x14ac:dyDescent="0.3">
      <c r="A541" s="71">
        <v>9</v>
      </c>
      <c r="B541" s="43" t="s">
        <v>202</v>
      </c>
      <c r="C541" s="13">
        <v>370</v>
      </c>
      <c r="D541" s="38">
        <v>9</v>
      </c>
      <c r="E541" s="38" t="s">
        <v>190</v>
      </c>
      <c r="F541" s="53">
        <v>4000</v>
      </c>
    </row>
    <row r="542" spans="1:6" x14ac:dyDescent="0.3">
      <c r="A542" s="71">
        <v>10</v>
      </c>
      <c r="B542" s="43" t="s">
        <v>203</v>
      </c>
      <c r="C542" s="13">
        <v>330</v>
      </c>
      <c r="D542" s="38">
        <v>10</v>
      </c>
      <c r="E542" s="38" t="s">
        <v>208</v>
      </c>
      <c r="F542" s="53">
        <v>3700</v>
      </c>
    </row>
    <row r="543" spans="1:6" ht="14.4" thickBot="1" x14ac:dyDescent="0.35">
      <c r="A543" s="71"/>
      <c r="B543" s="45" t="s">
        <v>194</v>
      </c>
      <c r="C543" s="13">
        <v>1950</v>
      </c>
      <c r="D543" s="38"/>
      <c r="E543" s="38" t="s">
        <v>194</v>
      </c>
      <c r="F543" s="53">
        <v>3640</v>
      </c>
    </row>
    <row r="544" spans="1:6" ht="14.4" thickBot="1" x14ac:dyDescent="0.35">
      <c r="A544" s="105" t="s">
        <v>180</v>
      </c>
      <c r="B544" s="107" t="s">
        <v>181</v>
      </c>
      <c r="C544" s="108" t="s">
        <v>209</v>
      </c>
      <c r="D544" s="105" t="s">
        <v>180</v>
      </c>
      <c r="E544" s="107" t="s">
        <v>181</v>
      </c>
      <c r="F544" s="109" t="s">
        <v>210</v>
      </c>
    </row>
    <row r="545" spans="1:6" ht="14.4" thickBot="1" x14ac:dyDescent="0.35">
      <c r="A545" s="106"/>
      <c r="B545" s="107"/>
      <c r="C545" s="108"/>
      <c r="D545" s="106"/>
      <c r="E545" s="107"/>
      <c r="F545" s="109"/>
    </row>
    <row r="546" spans="1:6" x14ac:dyDescent="0.3">
      <c r="A546" s="71"/>
      <c r="B546" s="44" t="s">
        <v>49</v>
      </c>
      <c r="C546" s="13">
        <f>SUM(C547:C557)</f>
        <v>5400</v>
      </c>
      <c r="D546" s="38"/>
      <c r="E546" s="38" t="s">
        <v>49</v>
      </c>
      <c r="F546" s="53">
        <f>SUM(F547:F557)</f>
        <v>89009</v>
      </c>
    </row>
    <row r="547" spans="1:6" x14ac:dyDescent="0.3">
      <c r="A547" s="71">
        <v>1</v>
      </c>
      <c r="B547" s="43" t="s">
        <v>185</v>
      </c>
      <c r="C547" s="13">
        <v>3000</v>
      </c>
      <c r="D547" s="38">
        <v>1</v>
      </c>
      <c r="E547" s="38" t="s">
        <v>185</v>
      </c>
      <c r="F547" s="53">
        <v>13503</v>
      </c>
    </row>
    <row r="548" spans="1:6" x14ac:dyDescent="0.3">
      <c r="A548" s="71">
        <v>2</v>
      </c>
      <c r="B548" s="43" t="s">
        <v>196</v>
      </c>
      <c r="C548" s="13">
        <v>690</v>
      </c>
      <c r="D548" s="38">
        <v>2</v>
      </c>
      <c r="E548" s="38" t="s">
        <v>196</v>
      </c>
      <c r="F548" s="53">
        <v>8198</v>
      </c>
    </row>
    <row r="549" spans="1:6" x14ac:dyDescent="0.3">
      <c r="A549" s="71">
        <v>3</v>
      </c>
      <c r="B549" s="43" t="s">
        <v>187</v>
      </c>
      <c r="C549" s="13">
        <v>340</v>
      </c>
      <c r="D549" s="38">
        <v>3</v>
      </c>
      <c r="E549" s="38" t="s">
        <v>187</v>
      </c>
      <c r="F549" s="53">
        <v>7298</v>
      </c>
    </row>
    <row r="550" spans="1:6" x14ac:dyDescent="0.3">
      <c r="A550" s="71">
        <v>4</v>
      </c>
      <c r="B550" s="43" t="s">
        <v>186</v>
      </c>
      <c r="C550" s="13">
        <v>266.47233039299994</v>
      </c>
      <c r="D550" s="38">
        <v>4</v>
      </c>
      <c r="E550" s="38" t="s">
        <v>189</v>
      </c>
      <c r="F550" s="53">
        <v>7073</v>
      </c>
    </row>
    <row r="551" spans="1:6" x14ac:dyDescent="0.3">
      <c r="A551" s="71">
        <v>5</v>
      </c>
      <c r="B551" s="43" t="s">
        <v>195</v>
      </c>
      <c r="C551" s="13">
        <v>220</v>
      </c>
      <c r="D551" s="38">
        <v>5</v>
      </c>
      <c r="E551" s="38" t="s">
        <v>186</v>
      </c>
      <c r="F551" s="53">
        <v>4870</v>
      </c>
    </row>
    <row r="552" spans="1:6" x14ac:dyDescent="0.3">
      <c r="A552" s="71">
        <v>6</v>
      </c>
      <c r="B552" s="43" t="s">
        <v>201</v>
      </c>
      <c r="C552" s="13">
        <v>120</v>
      </c>
      <c r="D552" s="38">
        <v>6</v>
      </c>
      <c r="E552" s="38" t="s">
        <v>212</v>
      </c>
      <c r="F552" s="53">
        <v>4662</v>
      </c>
    </row>
    <row r="553" spans="1:6" x14ac:dyDescent="0.3">
      <c r="A553" s="71">
        <v>7</v>
      </c>
      <c r="B553" s="43" t="s">
        <v>189</v>
      </c>
      <c r="C553" s="13">
        <v>90</v>
      </c>
      <c r="D553" s="38">
        <v>7</v>
      </c>
      <c r="E553" s="38" t="s">
        <v>192</v>
      </c>
      <c r="F553" s="53">
        <v>3858</v>
      </c>
    </row>
    <row r="554" spans="1:6" x14ac:dyDescent="0.3">
      <c r="A554" s="71">
        <v>8</v>
      </c>
      <c r="B554" s="43" t="s">
        <v>197</v>
      </c>
      <c r="C554" s="13">
        <v>90</v>
      </c>
      <c r="D554" s="38">
        <v>8</v>
      </c>
      <c r="E554" s="38" t="s">
        <v>195</v>
      </c>
      <c r="F554" s="53">
        <v>3215</v>
      </c>
    </row>
    <row r="555" spans="1:6" x14ac:dyDescent="0.3">
      <c r="A555" s="71">
        <v>9</v>
      </c>
      <c r="B555" s="43" t="s">
        <v>211</v>
      </c>
      <c r="C555" s="13">
        <v>62</v>
      </c>
      <c r="D555" s="38">
        <v>9</v>
      </c>
      <c r="E555" s="38" t="s">
        <v>213</v>
      </c>
      <c r="F555" s="53">
        <v>2990</v>
      </c>
    </row>
    <row r="556" spans="1:6" x14ac:dyDescent="0.3">
      <c r="A556" s="71">
        <v>10</v>
      </c>
      <c r="B556" s="43" t="s">
        <v>198</v>
      </c>
      <c r="C556" s="13">
        <v>60</v>
      </c>
      <c r="D556" s="38">
        <v>10</v>
      </c>
      <c r="E556" s="38" t="s">
        <v>214</v>
      </c>
      <c r="F556" s="53">
        <v>2733</v>
      </c>
    </row>
    <row r="557" spans="1:6" ht="14.4" thickBot="1" x14ac:dyDescent="0.35">
      <c r="A557" s="42"/>
      <c r="B557" s="45" t="s">
        <v>194</v>
      </c>
      <c r="C557" s="15">
        <v>461.52766960700046</v>
      </c>
      <c r="D557" s="23"/>
      <c r="E557" s="23" t="s">
        <v>194</v>
      </c>
      <c r="F557" s="54">
        <v>30609</v>
      </c>
    </row>
    <row r="560" spans="1:6" x14ac:dyDescent="0.3">
      <c r="A560" s="77" t="s">
        <v>417</v>
      </c>
      <c r="B560" s="77"/>
      <c r="C560" s="77"/>
      <c r="D560" s="77"/>
      <c r="E560" s="77"/>
      <c r="F560" s="77"/>
    </row>
    <row r="561" spans="1:8" x14ac:dyDescent="0.3">
      <c r="A561" s="77"/>
      <c r="B561" s="77"/>
      <c r="C561" s="77"/>
      <c r="D561" s="77"/>
      <c r="E561" s="77"/>
      <c r="F561" s="77"/>
    </row>
    <row r="562" spans="1:8" ht="14.4" thickBot="1" x14ac:dyDescent="0.35"/>
    <row r="563" spans="1:8" ht="14.4" thickBot="1" x14ac:dyDescent="0.35">
      <c r="A563" s="105" t="s">
        <v>181</v>
      </c>
      <c r="B563" s="104" t="s">
        <v>215</v>
      </c>
      <c r="C563" s="104"/>
      <c r="D563" s="104"/>
      <c r="E563" s="104"/>
      <c r="F563" s="104"/>
      <c r="G563" s="104"/>
      <c r="H563" s="110"/>
    </row>
    <row r="564" spans="1:8" ht="14.4" thickBot="1" x14ac:dyDescent="0.35">
      <c r="A564" s="115"/>
      <c r="B564" s="23">
        <v>2007</v>
      </c>
      <c r="C564" s="23">
        <v>2008</v>
      </c>
      <c r="D564" s="23">
        <v>2009</v>
      </c>
      <c r="E564" s="23">
        <v>2010</v>
      </c>
      <c r="F564" s="23">
        <v>2011</v>
      </c>
      <c r="G564" s="23">
        <v>2012</v>
      </c>
      <c r="H564" s="45">
        <v>2013</v>
      </c>
    </row>
    <row r="565" spans="1:8" x14ac:dyDescent="0.3">
      <c r="A565" s="29" t="s">
        <v>143</v>
      </c>
      <c r="B565" s="38"/>
      <c r="C565" s="38"/>
      <c r="D565" s="38"/>
      <c r="E565" s="38"/>
      <c r="F565" s="38"/>
      <c r="G565" s="38"/>
      <c r="H565" s="43"/>
    </row>
    <row r="566" spans="1:8" x14ac:dyDescent="0.3">
      <c r="A566" s="29" t="s">
        <v>49</v>
      </c>
      <c r="B566" s="72">
        <f>SUM(B567:B580)</f>
        <v>15503.262328999999</v>
      </c>
      <c r="C566" s="72">
        <f t="shared" ref="C566:H566" si="7">SUM(C567:C580)</f>
        <v>15582.738484000001</v>
      </c>
      <c r="D566" s="72">
        <f t="shared" si="7"/>
        <v>15917.803</v>
      </c>
      <c r="E566" s="72">
        <f t="shared" si="7"/>
        <v>15996.871999999998</v>
      </c>
      <c r="F566" s="72">
        <f t="shared" si="7"/>
        <v>16100</v>
      </c>
      <c r="G566" s="72">
        <f t="shared" si="7"/>
        <v>16900</v>
      </c>
      <c r="H566" s="73">
        <f t="shared" si="7"/>
        <v>17900</v>
      </c>
    </row>
    <row r="567" spans="1:8" x14ac:dyDescent="0.3">
      <c r="A567" s="24" t="s">
        <v>184</v>
      </c>
      <c r="B567" s="13">
        <v>5557</v>
      </c>
      <c r="C567" s="13">
        <v>5327.6</v>
      </c>
      <c r="D567" s="13">
        <v>5394.4</v>
      </c>
      <c r="E567" s="13">
        <v>5418.9</v>
      </c>
      <c r="F567" s="13">
        <v>5263</v>
      </c>
      <c r="G567" s="13">
        <v>5430</v>
      </c>
      <c r="H567" s="53">
        <v>5700</v>
      </c>
    </row>
    <row r="568" spans="1:8" x14ac:dyDescent="0.3">
      <c r="A568" s="24" t="s">
        <v>185</v>
      </c>
      <c r="B568" s="13">
        <v>946</v>
      </c>
      <c r="C568" s="13">
        <v>1090</v>
      </c>
      <c r="D568" s="13">
        <v>1070</v>
      </c>
      <c r="E568" s="13">
        <v>1200</v>
      </c>
      <c r="F568" s="13">
        <v>1310</v>
      </c>
      <c r="G568" s="13">
        <v>1630</v>
      </c>
      <c r="H568" s="53">
        <v>1650</v>
      </c>
    </row>
    <row r="569" spans="1:8" x14ac:dyDescent="0.3">
      <c r="A569" s="24" t="s">
        <v>186</v>
      </c>
      <c r="B569" s="13">
        <v>1190.2739999999999</v>
      </c>
      <c r="C569" s="13">
        <v>1267.867</v>
      </c>
      <c r="D569" s="13">
        <v>1276.249</v>
      </c>
      <c r="E569" s="13">
        <v>1247.184</v>
      </c>
      <c r="F569" s="13">
        <v>1235</v>
      </c>
      <c r="G569" s="13">
        <v>1299</v>
      </c>
      <c r="H569" s="53">
        <v>1376</v>
      </c>
    </row>
    <row r="570" spans="1:8" x14ac:dyDescent="0.3">
      <c r="A570" s="24" t="s">
        <v>187</v>
      </c>
      <c r="B570" s="13">
        <v>1170</v>
      </c>
      <c r="C570" s="13">
        <v>1310</v>
      </c>
      <c r="D570" s="13">
        <v>1180</v>
      </c>
      <c r="E570" s="13">
        <v>1110</v>
      </c>
      <c r="F570" s="13">
        <v>1110</v>
      </c>
      <c r="G570" s="13">
        <v>1170</v>
      </c>
      <c r="H570" s="53">
        <v>1220</v>
      </c>
    </row>
    <row r="571" spans="1:8" x14ac:dyDescent="0.3">
      <c r="A571" s="24" t="s">
        <v>188</v>
      </c>
      <c r="B571" s="13">
        <v>870</v>
      </c>
      <c r="C571" s="13">
        <v>886</v>
      </c>
      <c r="D571" s="13">
        <v>854</v>
      </c>
      <c r="E571" s="13">
        <v>870</v>
      </c>
      <c r="F571" s="13">
        <v>958</v>
      </c>
      <c r="G571" s="13">
        <v>958</v>
      </c>
      <c r="H571" s="53">
        <v>990</v>
      </c>
    </row>
    <row r="572" spans="1:8" x14ac:dyDescent="0.3">
      <c r="A572" s="24" t="s">
        <v>189</v>
      </c>
      <c r="B572" s="13">
        <v>740</v>
      </c>
      <c r="C572" s="13">
        <v>750</v>
      </c>
      <c r="D572" s="13">
        <v>676</v>
      </c>
      <c r="E572" s="13">
        <v>703</v>
      </c>
      <c r="F572" s="13">
        <v>713</v>
      </c>
      <c r="G572" s="13">
        <v>883</v>
      </c>
      <c r="H572" s="53">
        <v>930</v>
      </c>
    </row>
    <row r="573" spans="1:8" x14ac:dyDescent="0.3">
      <c r="A573" s="24" t="s">
        <v>190</v>
      </c>
      <c r="B573" s="13">
        <v>148.09899999999999</v>
      </c>
      <c r="C573" s="13">
        <v>233.74199999999999</v>
      </c>
      <c r="D573" s="13">
        <v>309.75099999999998</v>
      </c>
      <c r="E573" s="13">
        <v>380</v>
      </c>
      <c r="F573" s="13">
        <v>520</v>
      </c>
      <c r="G573" s="13">
        <v>600</v>
      </c>
      <c r="H573" s="53">
        <v>900</v>
      </c>
    </row>
    <row r="574" spans="1:8" x14ac:dyDescent="0.3">
      <c r="A574" s="24" t="s">
        <v>191</v>
      </c>
      <c r="B574" s="13">
        <v>509</v>
      </c>
      <c r="C574" s="13">
        <v>555</v>
      </c>
      <c r="D574" s="13">
        <v>697</v>
      </c>
      <c r="E574" s="13">
        <v>690</v>
      </c>
      <c r="F574" s="13">
        <v>668</v>
      </c>
      <c r="G574" s="13">
        <v>690</v>
      </c>
      <c r="H574" s="53">
        <v>830</v>
      </c>
    </row>
    <row r="575" spans="1:8" x14ac:dyDescent="0.3">
      <c r="A575" s="24" t="s">
        <v>192</v>
      </c>
      <c r="B575" s="13">
        <v>596.24900000000002</v>
      </c>
      <c r="C575" s="13">
        <v>606.99900000000002</v>
      </c>
      <c r="D575" s="13">
        <v>494.5</v>
      </c>
      <c r="E575" s="13">
        <v>525</v>
      </c>
      <c r="F575" s="13">
        <v>566</v>
      </c>
      <c r="G575" s="13">
        <v>579</v>
      </c>
      <c r="H575" s="53">
        <v>630</v>
      </c>
    </row>
    <row r="576" spans="1:8" x14ac:dyDescent="0.3">
      <c r="A576" s="24" t="s">
        <v>193</v>
      </c>
      <c r="B576" s="13">
        <v>335.50200000000001</v>
      </c>
      <c r="C576" s="13">
        <v>268.61900000000003</v>
      </c>
      <c r="D576" s="13">
        <v>227.74799999999999</v>
      </c>
      <c r="E576" s="13">
        <v>270.13600000000002</v>
      </c>
      <c r="F576" s="13">
        <v>444</v>
      </c>
      <c r="G576" s="13">
        <v>440</v>
      </c>
      <c r="H576" s="53">
        <v>480</v>
      </c>
    </row>
    <row r="577" spans="1:8" x14ac:dyDescent="0.3">
      <c r="A577" s="24" t="s">
        <v>216</v>
      </c>
      <c r="B577" s="13">
        <v>406.8</v>
      </c>
      <c r="C577" s="13">
        <v>421.7</v>
      </c>
      <c r="D577" s="13">
        <v>406.1</v>
      </c>
      <c r="E577" s="13">
        <v>380</v>
      </c>
      <c r="F577" s="13">
        <v>417</v>
      </c>
      <c r="G577" s="13">
        <v>424</v>
      </c>
      <c r="H577" s="53">
        <v>440</v>
      </c>
    </row>
    <row r="578" spans="1:8" x14ac:dyDescent="0.3">
      <c r="A578" s="24" t="s">
        <v>198</v>
      </c>
      <c r="B578" s="13">
        <v>452</v>
      </c>
      <c r="C578" s="13">
        <v>429</v>
      </c>
      <c r="D578" s="13">
        <v>439</v>
      </c>
      <c r="E578" s="13">
        <v>425.4</v>
      </c>
      <c r="F578" s="13">
        <v>427</v>
      </c>
      <c r="G578" s="13">
        <v>427</v>
      </c>
      <c r="H578" s="53">
        <v>430</v>
      </c>
    </row>
    <row r="579" spans="1:8" x14ac:dyDescent="0.3">
      <c r="A579" s="24" t="s">
        <v>217</v>
      </c>
      <c r="B579" s="13">
        <v>796.9</v>
      </c>
      <c r="C579" s="13">
        <v>632.6</v>
      </c>
      <c r="D579" s="13">
        <v>998.53</v>
      </c>
      <c r="E579" s="13">
        <v>872.3</v>
      </c>
      <c r="F579" s="13">
        <v>543</v>
      </c>
      <c r="G579" s="13">
        <v>360</v>
      </c>
      <c r="H579" s="53">
        <v>380</v>
      </c>
    </row>
    <row r="580" spans="1:8" x14ac:dyDescent="0.3">
      <c r="A580" s="24" t="s">
        <v>194</v>
      </c>
      <c r="B580" s="13">
        <v>1785.4383290000001</v>
      </c>
      <c r="C580" s="13">
        <v>1803.6114839999993</v>
      </c>
      <c r="D580" s="13">
        <v>1894.5249999999999</v>
      </c>
      <c r="E580" s="13">
        <v>1904.952</v>
      </c>
      <c r="F580" s="13">
        <v>1926</v>
      </c>
      <c r="G580" s="13">
        <v>2010</v>
      </c>
      <c r="H580" s="53">
        <v>1944</v>
      </c>
    </row>
    <row r="581" spans="1:8" x14ac:dyDescent="0.3">
      <c r="A581" s="24"/>
      <c r="B581" s="38"/>
      <c r="C581" s="38"/>
      <c r="D581" s="38"/>
      <c r="E581" s="38"/>
      <c r="F581" s="38"/>
      <c r="G581" s="38"/>
      <c r="H581" s="43"/>
    </row>
    <row r="582" spans="1:8" x14ac:dyDescent="0.3">
      <c r="A582" s="29" t="s">
        <v>218</v>
      </c>
      <c r="B582" s="38"/>
      <c r="C582" s="38"/>
      <c r="D582" s="38"/>
      <c r="E582" s="38"/>
      <c r="F582" s="38"/>
      <c r="G582" s="38"/>
      <c r="H582" s="43"/>
    </row>
    <row r="583" spans="1:8" x14ac:dyDescent="0.3">
      <c r="A583" s="29" t="s">
        <v>49</v>
      </c>
      <c r="B583" s="40">
        <f>SUM(B584:B594)</f>
        <v>11145.540999999997</v>
      </c>
      <c r="C583" s="40">
        <f t="shared" ref="C583:H583" si="8">SUM(C584:C594)</f>
        <v>11848.381000000001</v>
      </c>
      <c r="D583" s="40">
        <f t="shared" si="8"/>
        <v>11461.058000000003</v>
      </c>
      <c r="E583" s="40">
        <f t="shared" si="8"/>
        <v>12150.448999999999</v>
      </c>
      <c r="F583" s="40">
        <f t="shared" si="8"/>
        <v>12847.743</v>
      </c>
      <c r="G583" s="40">
        <f t="shared" si="8"/>
        <v>13371.975</v>
      </c>
      <c r="H583" s="67">
        <f t="shared" si="8"/>
        <v>13511</v>
      </c>
    </row>
    <row r="584" spans="1:8" x14ac:dyDescent="0.3">
      <c r="A584" s="24" t="s">
        <v>185</v>
      </c>
      <c r="B584" s="13">
        <v>3040</v>
      </c>
      <c r="C584" s="13">
        <v>3340</v>
      </c>
      <c r="D584" s="13">
        <v>3330</v>
      </c>
      <c r="E584" s="13">
        <v>3700</v>
      </c>
      <c r="F584" s="13">
        <v>4310</v>
      </c>
      <c r="G584" s="13">
        <v>4900</v>
      </c>
      <c r="H584" s="53">
        <v>5000</v>
      </c>
    </row>
    <row r="585" spans="1:8" x14ac:dyDescent="0.3">
      <c r="A585" s="24" t="s">
        <v>196</v>
      </c>
      <c r="B585" s="13">
        <v>1514</v>
      </c>
      <c r="C585" s="13">
        <v>1519</v>
      </c>
      <c r="D585" s="13">
        <v>1290</v>
      </c>
      <c r="E585" s="13">
        <v>1479</v>
      </c>
      <c r="F585" s="13">
        <v>1515</v>
      </c>
      <c r="G585" s="13">
        <v>1510</v>
      </c>
      <c r="H585" s="53">
        <v>1400</v>
      </c>
    </row>
    <row r="586" spans="1:8" x14ac:dyDescent="0.3">
      <c r="A586" s="24" t="s">
        <v>186</v>
      </c>
      <c r="B586" s="13">
        <v>1444.3610000000001</v>
      </c>
      <c r="C586" s="13">
        <v>1602.597</v>
      </c>
      <c r="D586" s="13">
        <v>1512.931</v>
      </c>
      <c r="E586" s="13">
        <v>1470.45</v>
      </c>
      <c r="F586" s="13">
        <v>1256.383</v>
      </c>
      <c r="G586" s="13">
        <v>1280.9749999999999</v>
      </c>
      <c r="H586" s="53">
        <v>1351</v>
      </c>
    </row>
    <row r="587" spans="1:8" x14ac:dyDescent="0.3">
      <c r="A587" s="24" t="s">
        <v>201</v>
      </c>
      <c r="B587" s="13">
        <v>538.9</v>
      </c>
      <c r="C587" s="13">
        <v>613.6</v>
      </c>
      <c r="D587" s="13">
        <v>695</v>
      </c>
      <c r="E587" s="13">
        <v>700</v>
      </c>
      <c r="F587" s="13">
        <v>710</v>
      </c>
      <c r="G587" s="13">
        <v>758</v>
      </c>
      <c r="H587" s="53">
        <v>800</v>
      </c>
    </row>
    <row r="588" spans="1:8" x14ac:dyDescent="0.3">
      <c r="A588" s="24" t="s">
        <v>187</v>
      </c>
      <c r="B588" s="13">
        <v>803</v>
      </c>
      <c r="C588" s="13">
        <v>778</v>
      </c>
      <c r="D588" s="13">
        <v>736</v>
      </c>
      <c r="E588" s="13">
        <v>748</v>
      </c>
      <c r="F588" s="13">
        <v>769</v>
      </c>
      <c r="G588" s="13">
        <v>738</v>
      </c>
      <c r="H588" s="53">
        <v>760</v>
      </c>
    </row>
    <row r="589" spans="1:8" x14ac:dyDescent="0.3">
      <c r="A589" s="24" t="s">
        <v>195</v>
      </c>
      <c r="B589" s="13">
        <v>426.50900000000001</v>
      </c>
      <c r="C589" s="13">
        <v>397.30599999999998</v>
      </c>
      <c r="D589" s="13">
        <v>384.47800000000001</v>
      </c>
      <c r="E589" s="13">
        <v>518.42899999999997</v>
      </c>
      <c r="F589" s="13">
        <v>631.85900000000004</v>
      </c>
      <c r="G589" s="13">
        <v>660</v>
      </c>
      <c r="H589" s="53">
        <v>600</v>
      </c>
    </row>
    <row r="590" spans="1:8" x14ac:dyDescent="0.3">
      <c r="A590" s="24" t="s">
        <v>192</v>
      </c>
      <c r="B590" s="13">
        <v>630.48500000000001</v>
      </c>
      <c r="C590" s="13">
        <v>750.50199999999995</v>
      </c>
      <c r="D590" s="13">
        <v>698.90099999999995</v>
      </c>
      <c r="E590" s="13">
        <v>648.90499999999997</v>
      </c>
      <c r="F590" s="13">
        <v>611.577</v>
      </c>
      <c r="G590" s="13">
        <v>641</v>
      </c>
      <c r="H590" s="53">
        <v>550</v>
      </c>
    </row>
    <row r="591" spans="1:8" x14ac:dyDescent="0.3">
      <c r="A591" s="24" t="s">
        <v>197</v>
      </c>
      <c r="B591" s="13">
        <v>214.053</v>
      </c>
      <c r="C591" s="13">
        <v>383.61900000000003</v>
      </c>
      <c r="D591" s="13">
        <v>430.87900000000002</v>
      </c>
      <c r="E591" s="13">
        <v>411.40899999999999</v>
      </c>
      <c r="F591" s="13">
        <v>427.12900000000002</v>
      </c>
      <c r="G591" s="13">
        <v>405</v>
      </c>
      <c r="H591" s="53">
        <v>400</v>
      </c>
    </row>
    <row r="592" spans="1:8" x14ac:dyDescent="0.3">
      <c r="A592" s="24" t="s">
        <v>202</v>
      </c>
      <c r="B592" s="13">
        <v>445</v>
      </c>
      <c r="C592" s="13">
        <v>446</v>
      </c>
      <c r="D592" s="13">
        <v>442</v>
      </c>
      <c r="E592" s="13">
        <v>459</v>
      </c>
      <c r="F592" s="13">
        <v>495</v>
      </c>
      <c r="G592" s="13">
        <v>371</v>
      </c>
      <c r="H592" s="53">
        <v>370</v>
      </c>
    </row>
    <row r="593" spans="1:8" x14ac:dyDescent="0.3">
      <c r="A593" s="24" t="s">
        <v>203</v>
      </c>
      <c r="B593" s="13">
        <v>400.89800000000002</v>
      </c>
      <c r="C593" s="13">
        <v>398.15800000000002</v>
      </c>
      <c r="D593" s="13">
        <v>385.67</v>
      </c>
      <c r="E593" s="13">
        <v>342.43400000000003</v>
      </c>
      <c r="F593" s="13">
        <v>340</v>
      </c>
      <c r="G593" s="13">
        <v>338</v>
      </c>
      <c r="H593" s="53">
        <v>330</v>
      </c>
    </row>
    <row r="594" spans="1:8" x14ac:dyDescent="0.3">
      <c r="A594" s="24" t="s">
        <v>194</v>
      </c>
      <c r="B594" s="13">
        <v>1688.335</v>
      </c>
      <c r="C594" s="13">
        <v>1619.5989999999999</v>
      </c>
      <c r="D594" s="13">
        <v>1555.1990000000001</v>
      </c>
      <c r="E594" s="13">
        <v>1672.8219999999999</v>
      </c>
      <c r="F594" s="13">
        <v>1781.7950000000001</v>
      </c>
      <c r="G594" s="13">
        <v>1770</v>
      </c>
      <c r="H594" s="53">
        <v>1950</v>
      </c>
    </row>
    <row r="595" spans="1:8" x14ac:dyDescent="0.3">
      <c r="A595" s="24"/>
      <c r="B595" s="38"/>
      <c r="C595" s="38"/>
      <c r="D595" s="38"/>
      <c r="E595" s="38"/>
      <c r="F595" s="38"/>
      <c r="G595" s="38"/>
      <c r="H595" s="43"/>
    </row>
    <row r="596" spans="1:8" x14ac:dyDescent="0.3">
      <c r="A596" s="29" t="s">
        <v>149</v>
      </c>
      <c r="B596" s="38"/>
      <c r="C596" s="38"/>
      <c r="D596" s="38"/>
      <c r="E596" s="38"/>
      <c r="F596" s="38"/>
      <c r="G596" s="38"/>
      <c r="H596" s="43"/>
    </row>
    <row r="597" spans="1:8" x14ac:dyDescent="0.3">
      <c r="A597" s="29" t="s">
        <v>49</v>
      </c>
      <c r="B597" s="40">
        <f>SUM(B598:B611)</f>
        <v>3713.8029999999999</v>
      </c>
      <c r="C597" s="40">
        <f t="shared" ref="C597:H597" si="9">SUM(C598:C611)</f>
        <v>3884.723</v>
      </c>
      <c r="D597" s="40">
        <f t="shared" si="9"/>
        <v>3869.9629999999997</v>
      </c>
      <c r="E597" s="40">
        <f t="shared" si="9"/>
        <v>4161.0819999999994</v>
      </c>
      <c r="F597" s="40">
        <f t="shared" si="9"/>
        <v>4700</v>
      </c>
      <c r="G597" s="40">
        <f t="shared" si="9"/>
        <v>5170</v>
      </c>
      <c r="H597" s="67">
        <f t="shared" si="9"/>
        <v>5400</v>
      </c>
    </row>
    <row r="598" spans="1:8" x14ac:dyDescent="0.3">
      <c r="A598" s="24" t="s">
        <v>185</v>
      </c>
      <c r="B598" s="13">
        <v>1410</v>
      </c>
      <c r="C598" s="13">
        <v>1500</v>
      </c>
      <c r="D598" s="13">
        <v>1600</v>
      </c>
      <c r="E598" s="13">
        <v>1850</v>
      </c>
      <c r="F598" s="13">
        <v>2350</v>
      </c>
      <c r="G598" s="13">
        <v>2800</v>
      </c>
      <c r="H598" s="53">
        <v>3000</v>
      </c>
    </row>
    <row r="599" spans="1:8" x14ac:dyDescent="0.3">
      <c r="A599" s="24" t="s">
        <v>196</v>
      </c>
      <c r="B599" s="13">
        <v>641</v>
      </c>
      <c r="C599" s="13">
        <v>645</v>
      </c>
      <c r="D599" s="13">
        <v>566</v>
      </c>
      <c r="E599" s="13">
        <v>625</v>
      </c>
      <c r="F599" s="13">
        <v>621</v>
      </c>
      <c r="G599" s="13">
        <v>648</v>
      </c>
      <c r="H599" s="53">
        <v>690</v>
      </c>
    </row>
    <row r="600" spans="1:8" x14ac:dyDescent="0.3">
      <c r="A600" s="24" t="s">
        <v>187</v>
      </c>
      <c r="B600" s="13">
        <v>444</v>
      </c>
      <c r="C600" s="13">
        <v>410</v>
      </c>
      <c r="D600" s="13">
        <v>406</v>
      </c>
      <c r="E600" s="13">
        <v>369</v>
      </c>
      <c r="F600" s="13">
        <v>342</v>
      </c>
      <c r="G600" s="13">
        <v>345</v>
      </c>
      <c r="H600" s="53">
        <v>340</v>
      </c>
    </row>
    <row r="601" spans="1:8" x14ac:dyDescent="0.3">
      <c r="A601" s="24" t="s">
        <v>186</v>
      </c>
      <c r="B601" s="13">
        <v>329.154</v>
      </c>
      <c r="C601" s="13">
        <v>345.10899999999998</v>
      </c>
      <c r="D601" s="13">
        <v>302.459</v>
      </c>
      <c r="E601" s="13">
        <v>261.99</v>
      </c>
      <c r="F601" s="13">
        <v>230.19908238499997</v>
      </c>
      <c r="G601" s="13">
        <v>249.23615747600005</v>
      </c>
      <c r="H601" s="53">
        <v>266.47233039299994</v>
      </c>
    </row>
    <row r="602" spans="1:8" x14ac:dyDescent="0.3">
      <c r="A602" s="24" t="s">
        <v>195</v>
      </c>
      <c r="B602" s="13">
        <v>120</v>
      </c>
      <c r="C602" s="13">
        <v>100.72499999999999</v>
      </c>
      <c r="D602" s="13">
        <v>143.83799999999999</v>
      </c>
      <c r="E602" s="13">
        <v>192.06200000000001</v>
      </c>
      <c r="F602" s="13">
        <v>220</v>
      </c>
      <c r="G602" s="13">
        <v>210</v>
      </c>
      <c r="H602" s="53">
        <v>220</v>
      </c>
    </row>
    <row r="603" spans="1:8" x14ac:dyDescent="0.3">
      <c r="A603" s="24" t="s">
        <v>201</v>
      </c>
      <c r="B603" s="13">
        <v>77.5</v>
      </c>
      <c r="C603" s="13">
        <v>87.3</v>
      </c>
      <c r="D603" s="13">
        <v>92</v>
      </c>
      <c r="E603" s="13">
        <v>97</v>
      </c>
      <c r="F603" s="13">
        <v>115</v>
      </c>
      <c r="G603" s="13">
        <v>118</v>
      </c>
      <c r="H603" s="53">
        <v>120</v>
      </c>
    </row>
    <row r="604" spans="1:8" x14ac:dyDescent="0.3">
      <c r="A604" s="24" t="s">
        <v>189</v>
      </c>
      <c r="B604" s="13">
        <v>50</v>
      </c>
      <c r="C604" s="13">
        <v>60</v>
      </c>
      <c r="D604" s="13">
        <v>70</v>
      </c>
      <c r="E604" s="13">
        <v>97</v>
      </c>
      <c r="F604" s="13">
        <v>105</v>
      </c>
      <c r="G604" s="13">
        <v>95</v>
      </c>
      <c r="H604" s="53">
        <v>90</v>
      </c>
    </row>
    <row r="605" spans="1:8" x14ac:dyDescent="0.3">
      <c r="A605" s="24" t="s">
        <v>197</v>
      </c>
      <c r="B605" s="13">
        <v>22.797999999999998</v>
      </c>
      <c r="C605" s="13">
        <v>81.602000000000004</v>
      </c>
      <c r="D605" s="13">
        <v>84.537999999999997</v>
      </c>
      <c r="E605" s="13">
        <v>72.802999999999997</v>
      </c>
      <c r="F605" s="13">
        <v>100.051</v>
      </c>
      <c r="G605" s="13">
        <v>88</v>
      </c>
      <c r="H605" s="53">
        <v>90</v>
      </c>
    </row>
    <row r="606" spans="1:8" x14ac:dyDescent="0.3">
      <c r="A606" s="24" t="s">
        <v>211</v>
      </c>
      <c r="B606" s="13">
        <v>62.1</v>
      </c>
      <c r="C606" s="13">
        <v>60</v>
      </c>
      <c r="D606" s="13">
        <v>69</v>
      </c>
      <c r="E606" s="13">
        <v>68</v>
      </c>
      <c r="F606" s="13">
        <v>62</v>
      </c>
      <c r="G606" s="13">
        <v>62</v>
      </c>
      <c r="H606" s="53">
        <v>62</v>
      </c>
    </row>
    <row r="607" spans="1:8" x14ac:dyDescent="0.3">
      <c r="A607" s="24" t="s">
        <v>198</v>
      </c>
      <c r="B607" s="13">
        <v>79.400000000000006</v>
      </c>
      <c r="C607" s="13">
        <v>87.7</v>
      </c>
      <c r="D607" s="13">
        <v>80.400000000000006</v>
      </c>
      <c r="E607" s="13">
        <v>63.8</v>
      </c>
      <c r="F607" s="13">
        <v>60</v>
      </c>
      <c r="G607" s="13">
        <v>58</v>
      </c>
      <c r="H607" s="53">
        <v>60</v>
      </c>
    </row>
    <row r="608" spans="1:8" x14ac:dyDescent="0.3">
      <c r="A608" s="24" t="s">
        <v>212</v>
      </c>
      <c r="B608" s="13">
        <v>41.856999999999999</v>
      </c>
      <c r="C608" s="13">
        <v>46.44</v>
      </c>
      <c r="D608" s="13">
        <v>49.149000000000001</v>
      </c>
      <c r="E608" s="13">
        <v>49.715000000000003</v>
      </c>
      <c r="F608" s="13">
        <v>55</v>
      </c>
      <c r="G608" s="13">
        <v>55</v>
      </c>
      <c r="H608" s="53">
        <v>52</v>
      </c>
    </row>
    <row r="609" spans="1:8" x14ac:dyDescent="0.3">
      <c r="A609" s="24" t="s">
        <v>219</v>
      </c>
      <c r="B609" s="13">
        <v>54.1</v>
      </c>
      <c r="C609" s="13">
        <v>50.2</v>
      </c>
      <c r="D609" s="13">
        <v>43</v>
      </c>
      <c r="E609" s="13">
        <v>45</v>
      </c>
      <c r="F609" s="13">
        <v>45</v>
      </c>
      <c r="G609" s="13">
        <v>51</v>
      </c>
      <c r="H609" s="53">
        <v>43</v>
      </c>
    </row>
    <row r="610" spans="1:8" x14ac:dyDescent="0.3">
      <c r="A610" s="24" t="s">
        <v>192</v>
      </c>
      <c r="B610" s="13">
        <v>75.135000000000005</v>
      </c>
      <c r="C610" s="13">
        <v>98.974000000000004</v>
      </c>
      <c r="D610" s="13">
        <v>68.760999999999996</v>
      </c>
      <c r="E610" s="13">
        <v>64.858999999999995</v>
      </c>
      <c r="F610" s="13">
        <v>59.445</v>
      </c>
      <c r="G610" s="13">
        <v>59</v>
      </c>
      <c r="H610" s="53">
        <v>35</v>
      </c>
    </row>
    <row r="611" spans="1:8" x14ac:dyDescent="0.3">
      <c r="A611" s="24" t="s">
        <v>194</v>
      </c>
      <c r="B611" s="13">
        <v>306.75900000000001</v>
      </c>
      <c r="C611" s="13">
        <v>311.673</v>
      </c>
      <c r="D611" s="13">
        <v>294.81799999999998</v>
      </c>
      <c r="E611" s="13">
        <v>304.85300000000001</v>
      </c>
      <c r="F611" s="13">
        <v>335.30491761499979</v>
      </c>
      <c r="G611" s="13">
        <v>331.76384252400021</v>
      </c>
      <c r="H611" s="53">
        <v>331.52766960700046</v>
      </c>
    </row>
    <row r="612" spans="1:8" x14ac:dyDescent="0.3">
      <c r="A612" s="24"/>
      <c r="B612" s="38"/>
      <c r="C612" s="38"/>
      <c r="D612" s="38"/>
      <c r="E612" s="38"/>
      <c r="F612" s="38"/>
      <c r="G612" s="38"/>
      <c r="H612" s="43"/>
    </row>
    <row r="613" spans="1:8" x14ac:dyDescent="0.3">
      <c r="A613" s="29" t="s">
        <v>152</v>
      </c>
      <c r="B613" s="38"/>
      <c r="C613" s="38"/>
      <c r="D613" s="38"/>
      <c r="E613" s="38"/>
      <c r="F613" s="38"/>
      <c r="G613" s="38"/>
      <c r="H613" s="43"/>
    </row>
    <row r="614" spans="1:8" x14ac:dyDescent="0.3">
      <c r="A614" s="29" t="s">
        <v>49</v>
      </c>
      <c r="B614" s="40">
        <f>SUM(B615:B627)</f>
        <v>303361</v>
      </c>
      <c r="C614" s="40">
        <f t="shared" ref="C614:H614" si="10">SUM(C615:C627)</f>
        <v>257734</v>
      </c>
      <c r="D614" s="40">
        <f t="shared" si="10"/>
        <v>264652</v>
      </c>
      <c r="E614" s="40">
        <f t="shared" si="10"/>
        <v>266033</v>
      </c>
      <c r="F614" s="40">
        <f t="shared" si="10"/>
        <v>243959</v>
      </c>
      <c r="G614" s="40">
        <f t="shared" si="10"/>
        <v>240328</v>
      </c>
      <c r="H614" s="67">
        <f t="shared" si="10"/>
        <v>227208</v>
      </c>
    </row>
    <row r="615" spans="1:8" x14ac:dyDescent="0.3">
      <c r="A615" s="24" t="s">
        <v>185</v>
      </c>
      <c r="B615" s="13">
        <v>146000</v>
      </c>
      <c r="C615" s="13">
        <v>110000</v>
      </c>
      <c r="D615" s="13">
        <v>115000</v>
      </c>
      <c r="E615" s="13">
        <v>120000</v>
      </c>
      <c r="F615" s="13">
        <v>120000</v>
      </c>
      <c r="G615" s="13">
        <v>110000</v>
      </c>
      <c r="H615" s="53">
        <v>100000</v>
      </c>
    </row>
    <row r="616" spans="1:8" x14ac:dyDescent="0.3">
      <c r="A616" s="24" t="s">
        <v>204</v>
      </c>
      <c r="B616" s="13">
        <v>66137</v>
      </c>
      <c r="C616" s="13">
        <v>53228</v>
      </c>
      <c r="D616" s="13">
        <v>55000</v>
      </c>
      <c r="E616" s="13">
        <v>56000</v>
      </c>
      <c r="F616" s="13">
        <v>42000</v>
      </c>
      <c r="G616" s="13">
        <v>41000</v>
      </c>
      <c r="H616" s="53">
        <v>40000</v>
      </c>
    </row>
    <row r="617" spans="1:8" x14ac:dyDescent="0.3">
      <c r="A617" s="24" t="s">
        <v>186</v>
      </c>
      <c r="B617" s="13">
        <v>39019</v>
      </c>
      <c r="C617" s="13">
        <v>39037</v>
      </c>
      <c r="D617" s="13">
        <v>37503</v>
      </c>
      <c r="E617" s="13">
        <v>33848</v>
      </c>
      <c r="F617" s="13">
        <v>28900</v>
      </c>
      <c r="G617" s="13">
        <v>26105</v>
      </c>
      <c r="H617" s="53">
        <v>23668</v>
      </c>
    </row>
    <row r="618" spans="1:8" x14ac:dyDescent="0.3">
      <c r="A618" s="24" t="s">
        <v>197</v>
      </c>
      <c r="B618" s="13">
        <v>15972</v>
      </c>
      <c r="C618" s="13">
        <v>17318</v>
      </c>
      <c r="D618" s="13">
        <v>19575</v>
      </c>
      <c r="E618" s="13">
        <v>20190</v>
      </c>
      <c r="F618" s="13">
        <v>20373</v>
      </c>
      <c r="G618" s="13">
        <v>19700</v>
      </c>
      <c r="H618" s="53">
        <v>18000</v>
      </c>
    </row>
    <row r="619" spans="1:8" x14ac:dyDescent="0.3">
      <c r="A619" s="24" t="s">
        <v>205</v>
      </c>
      <c r="B619" s="13">
        <v>11835</v>
      </c>
      <c r="C619" s="13">
        <v>11000</v>
      </c>
      <c r="D619" s="13">
        <v>10000</v>
      </c>
      <c r="E619" s="13">
        <v>11000</v>
      </c>
      <c r="F619" s="13">
        <v>11000</v>
      </c>
      <c r="G619" s="13">
        <v>10800</v>
      </c>
      <c r="H619" s="53">
        <v>11900</v>
      </c>
    </row>
    <row r="620" spans="1:8" x14ac:dyDescent="0.3">
      <c r="A620" s="24" t="s">
        <v>206</v>
      </c>
      <c r="B620" s="13">
        <v>741</v>
      </c>
      <c r="C620" s="13">
        <v>675</v>
      </c>
      <c r="D620" s="13">
        <v>672</v>
      </c>
      <c r="E620" s="13">
        <v>672</v>
      </c>
      <c r="F620" s="13">
        <v>675</v>
      </c>
      <c r="G620" s="13">
        <v>11000</v>
      </c>
      <c r="H620" s="53">
        <v>11000</v>
      </c>
    </row>
    <row r="621" spans="1:8" x14ac:dyDescent="0.3">
      <c r="A621" s="24" t="s">
        <v>196</v>
      </c>
      <c r="B621" s="13">
        <v>2071</v>
      </c>
      <c r="C621" s="13">
        <v>1783</v>
      </c>
      <c r="D621" s="13">
        <v>5630</v>
      </c>
      <c r="E621" s="13">
        <v>7000</v>
      </c>
      <c r="F621" s="13">
        <v>6500</v>
      </c>
      <c r="G621" s="13">
        <v>5000</v>
      </c>
      <c r="H621" s="53">
        <v>5900</v>
      </c>
    </row>
    <row r="622" spans="1:8" x14ac:dyDescent="0.3">
      <c r="A622" s="24" t="s">
        <v>207</v>
      </c>
      <c r="B622" s="13">
        <v>5400</v>
      </c>
      <c r="C622" s="13">
        <v>5400</v>
      </c>
      <c r="D622" s="13">
        <v>5400</v>
      </c>
      <c r="E622" s="13">
        <v>5500</v>
      </c>
      <c r="F622" s="13">
        <v>5400</v>
      </c>
      <c r="G622" s="13">
        <v>5400</v>
      </c>
      <c r="H622" s="53">
        <v>5400</v>
      </c>
    </row>
    <row r="623" spans="1:8" x14ac:dyDescent="0.3">
      <c r="A623" s="24" t="s">
        <v>190</v>
      </c>
      <c r="B623" s="13">
        <v>8900</v>
      </c>
      <c r="C623" s="13">
        <v>12300</v>
      </c>
      <c r="D623" s="13">
        <v>10000</v>
      </c>
      <c r="E623" s="13">
        <v>6700</v>
      </c>
      <c r="F623" s="13">
        <v>2900</v>
      </c>
      <c r="G623" s="13">
        <v>4000</v>
      </c>
      <c r="H623" s="53">
        <v>4000</v>
      </c>
    </row>
    <row r="624" spans="1:8" x14ac:dyDescent="0.3">
      <c r="A624" s="24" t="s">
        <v>208</v>
      </c>
      <c r="B624" s="13">
        <v>2263</v>
      </c>
      <c r="C624" s="13">
        <v>2605</v>
      </c>
      <c r="D624" s="13">
        <v>2412</v>
      </c>
      <c r="E624" s="13">
        <v>1769</v>
      </c>
      <c r="F624" s="13">
        <v>3346</v>
      </c>
      <c r="G624" s="13">
        <v>3000</v>
      </c>
      <c r="H624" s="53">
        <v>3700</v>
      </c>
    </row>
    <row r="625" spans="1:8" x14ac:dyDescent="0.3">
      <c r="A625" s="24" t="s">
        <v>220</v>
      </c>
      <c r="B625" s="13">
        <v>740</v>
      </c>
      <c r="C625" s="13">
        <v>980</v>
      </c>
      <c r="D625" s="13">
        <v>850</v>
      </c>
      <c r="E625" s="13">
        <v>900</v>
      </c>
      <c r="F625" s="13">
        <v>1400</v>
      </c>
      <c r="G625" s="13">
        <v>2300</v>
      </c>
      <c r="H625" s="53">
        <v>1600</v>
      </c>
    </row>
    <row r="626" spans="1:8" x14ac:dyDescent="0.3">
      <c r="A626" s="24" t="s">
        <v>189</v>
      </c>
      <c r="B626" s="13">
        <v>2500</v>
      </c>
      <c r="C626" s="13">
        <v>1500</v>
      </c>
      <c r="D626" s="13">
        <v>1200</v>
      </c>
      <c r="E626" s="13">
        <v>1100</v>
      </c>
      <c r="F626" s="13">
        <v>160</v>
      </c>
      <c r="G626" s="13">
        <v>280</v>
      </c>
      <c r="H626" s="53">
        <v>300</v>
      </c>
    </row>
    <row r="627" spans="1:8" ht="14.4" thickBot="1" x14ac:dyDescent="0.35">
      <c r="A627" s="24" t="s">
        <v>194</v>
      </c>
      <c r="B627" s="13">
        <v>1783</v>
      </c>
      <c r="C627" s="13">
        <v>1908</v>
      </c>
      <c r="D627" s="13">
        <v>1410</v>
      </c>
      <c r="E627" s="13">
        <v>1354</v>
      </c>
      <c r="F627" s="13">
        <v>1305</v>
      </c>
      <c r="G627" s="13">
        <v>1743</v>
      </c>
      <c r="H627" s="53">
        <v>1740</v>
      </c>
    </row>
    <row r="628" spans="1:8" ht="14.4" thickBot="1" x14ac:dyDescent="0.35">
      <c r="A628" s="24"/>
      <c r="B628" s="104" t="s">
        <v>221</v>
      </c>
      <c r="C628" s="104"/>
      <c r="D628" s="104"/>
      <c r="E628" s="104"/>
      <c r="F628" s="104"/>
      <c r="G628" s="104"/>
      <c r="H628" s="110"/>
    </row>
    <row r="629" spans="1:8" x14ac:dyDescent="0.3">
      <c r="A629" s="29" t="s">
        <v>145</v>
      </c>
      <c r="B629" s="38"/>
      <c r="C629" s="38"/>
      <c r="D629" s="38"/>
      <c r="E629" s="38"/>
      <c r="F629" s="38"/>
      <c r="G629" s="38"/>
      <c r="H629" s="43"/>
    </row>
    <row r="630" spans="1:8" x14ac:dyDescent="0.3">
      <c r="A630" s="29" t="s">
        <v>49</v>
      </c>
      <c r="B630" s="40">
        <f>SUM(B631:B644)</f>
        <v>75279.011894901778</v>
      </c>
      <c r="C630" s="40">
        <f t="shared" ref="C630:H630" si="11">SUM(C631:C644)</f>
        <v>73064.789978720364</v>
      </c>
      <c r="D630" s="40">
        <f t="shared" si="11"/>
        <v>78906.007342201745</v>
      </c>
      <c r="E630" s="40">
        <f t="shared" si="11"/>
        <v>82285.881300575435</v>
      </c>
      <c r="F630" s="40">
        <f t="shared" si="11"/>
        <v>85520.758634314494</v>
      </c>
      <c r="G630" s="40">
        <f t="shared" si="11"/>
        <v>86502.686642157001</v>
      </c>
      <c r="H630" s="67">
        <f t="shared" si="11"/>
        <v>89009</v>
      </c>
    </row>
    <row r="631" spans="1:8" x14ac:dyDescent="0.3">
      <c r="A631" s="24" t="s">
        <v>185</v>
      </c>
      <c r="B631" s="13">
        <v>8841.4553063726999</v>
      </c>
      <c r="C631" s="13">
        <v>9162.9627720589797</v>
      </c>
      <c r="D631" s="13">
        <v>10288.23890196096</v>
      </c>
      <c r="E631" s="13">
        <v>11092.00756617666</v>
      </c>
      <c r="F631" s="13">
        <v>11638.570257843336</v>
      </c>
      <c r="G631" s="13">
        <v>12957</v>
      </c>
      <c r="H631" s="53">
        <v>13503</v>
      </c>
    </row>
    <row r="632" spans="1:8" x14ac:dyDescent="0.3">
      <c r="A632" s="24" t="s">
        <v>196</v>
      </c>
      <c r="B632" s="13">
        <v>7941.2344024511167</v>
      </c>
      <c r="C632" s="13">
        <v>6912.4105122550209</v>
      </c>
      <c r="D632" s="13">
        <v>7201.7672313726725</v>
      </c>
      <c r="E632" s="13">
        <v>8391.3448544119074</v>
      </c>
      <c r="F632" s="13">
        <v>8294.8926147060247</v>
      </c>
      <c r="G632" s="13">
        <v>8037.6866421570003</v>
      </c>
      <c r="H632" s="53">
        <v>8198</v>
      </c>
    </row>
    <row r="633" spans="1:8" x14ac:dyDescent="0.3">
      <c r="A633" s="24" t="s">
        <v>187</v>
      </c>
      <c r="B633" s="13">
        <v>7651.8776833334641</v>
      </c>
      <c r="C633" s="13">
        <v>7491.1239504903251</v>
      </c>
      <c r="D633" s="13">
        <v>7169.6164848040444</v>
      </c>
      <c r="E633" s="13">
        <v>7426.8224573530688</v>
      </c>
      <c r="F633" s="13">
        <v>7523.2746970589524</v>
      </c>
      <c r="G633" s="13">
        <v>7555</v>
      </c>
      <c r="H633" s="53">
        <v>7298</v>
      </c>
    </row>
    <row r="634" spans="1:8" x14ac:dyDescent="0.3">
      <c r="A634" s="24" t="s">
        <v>189</v>
      </c>
      <c r="B634" s="13">
        <v>5046.8634426103799</v>
      </c>
      <c r="C634" s="13">
        <v>5530.9250829476432</v>
      </c>
      <c r="D634" s="13">
        <v>6199.6927623216752</v>
      </c>
      <c r="E634" s="13">
        <v>6174.0364665599091</v>
      </c>
      <c r="F634" s="13">
        <v>6419</v>
      </c>
      <c r="G634" s="13">
        <v>7009</v>
      </c>
      <c r="H634" s="53">
        <v>7073</v>
      </c>
    </row>
    <row r="635" spans="1:8" x14ac:dyDescent="0.3">
      <c r="A635" s="24" t="s">
        <v>186</v>
      </c>
      <c r="B635" s="13">
        <v>5473.214492856956</v>
      </c>
      <c r="C635" s="13">
        <v>5782.9547852991182</v>
      </c>
      <c r="D635" s="13">
        <v>5916</v>
      </c>
      <c r="E635" s="13">
        <v>5274.6514820491102</v>
      </c>
      <c r="F635" s="13">
        <v>5343</v>
      </c>
      <c r="G635" s="13">
        <v>5194</v>
      </c>
      <c r="H635" s="53">
        <v>4870</v>
      </c>
    </row>
    <row r="636" spans="1:8" x14ac:dyDescent="0.3">
      <c r="A636" s="24" t="s">
        <v>212</v>
      </c>
      <c r="B636" s="13">
        <v>8121.2142817422964</v>
      </c>
      <c r="C636" s="13">
        <v>6839.8784279961956</v>
      </c>
      <c r="D636" s="13">
        <v>6353.8877428648148</v>
      </c>
      <c r="E636" s="13">
        <v>6066.8780282466732</v>
      </c>
      <c r="F636" s="13">
        <v>5819.2851289216678</v>
      </c>
      <c r="G636" s="13">
        <v>5144</v>
      </c>
      <c r="H636" s="53">
        <v>4662</v>
      </c>
    </row>
    <row r="637" spans="1:8" x14ac:dyDescent="0.3">
      <c r="A637" s="24" t="s">
        <v>192</v>
      </c>
      <c r="B637" s="13">
        <v>3286.1599575260366</v>
      </c>
      <c r="C637" s="13">
        <v>3054.4495270059347</v>
      </c>
      <c r="D637" s="13">
        <v>3130.4217411476025</v>
      </c>
      <c r="E637" s="13">
        <v>2926.4895556627948</v>
      </c>
      <c r="F637" s="13">
        <v>3110</v>
      </c>
      <c r="G637" s="13">
        <v>3344</v>
      </c>
      <c r="H637" s="53">
        <v>3858</v>
      </c>
    </row>
    <row r="638" spans="1:8" x14ac:dyDescent="0.3">
      <c r="A638" s="24" t="s">
        <v>195</v>
      </c>
      <c r="B638" s="13">
        <v>1265.292631208355</v>
      </c>
      <c r="C638" s="13">
        <v>1619.2723509289492</v>
      </c>
      <c r="D638" s="13">
        <v>1652.3233184014989</v>
      </c>
      <c r="E638" s="13">
        <v>2334.0155978961184</v>
      </c>
      <c r="F638" s="13">
        <v>2700.6627117647517</v>
      </c>
      <c r="G638" s="13">
        <v>3199</v>
      </c>
      <c r="H638" s="53">
        <v>3215</v>
      </c>
    </row>
    <row r="639" spans="1:8" x14ac:dyDescent="0.3">
      <c r="A639" s="24" t="s">
        <v>213</v>
      </c>
      <c r="B639" s="13">
        <v>2732.8134583333799</v>
      </c>
      <c r="C639" s="13">
        <v>2732.8134583333799</v>
      </c>
      <c r="D639" s="13">
        <v>2893.5671911765203</v>
      </c>
      <c r="E639" s="13">
        <v>2893.5671911765203</v>
      </c>
      <c r="F639" s="13">
        <v>2925.7179377451484</v>
      </c>
      <c r="G639" s="13">
        <v>2990</v>
      </c>
      <c r="H639" s="53">
        <v>2990</v>
      </c>
    </row>
    <row r="640" spans="1:8" x14ac:dyDescent="0.3">
      <c r="A640" s="24" t="s">
        <v>214</v>
      </c>
      <c r="B640" s="13">
        <v>2321.5732589740596</v>
      </c>
      <c r="C640" s="13">
        <v>2346.3614845784718</v>
      </c>
      <c r="D640" s="13">
        <v>2568.2980881417107</v>
      </c>
      <c r="E640" s="13">
        <v>2636.3612186274963</v>
      </c>
      <c r="F640" s="13">
        <v>2572.05972549024</v>
      </c>
      <c r="G640" s="13">
        <v>2797</v>
      </c>
      <c r="H640" s="53">
        <v>2733</v>
      </c>
    </row>
    <row r="641" spans="1:8" x14ac:dyDescent="0.3">
      <c r="A641" s="24" t="s">
        <v>205</v>
      </c>
      <c r="B641" s="13">
        <v>1595.0949895093411</v>
      </c>
      <c r="C641" s="13">
        <v>1757.5527119206183</v>
      </c>
      <c r="D641" s="13">
        <v>1802.4351541304229</v>
      </c>
      <c r="E641" s="13">
        <v>1864.743300980424</v>
      </c>
      <c r="F641" s="13">
        <v>1993.346287254936</v>
      </c>
      <c r="G641" s="13">
        <v>2090</v>
      </c>
      <c r="H641" s="53">
        <v>2411</v>
      </c>
    </row>
    <row r="642" spans="1:8" x14ac:dyDescent="0.3">
      <c r="A642" s="24" t="s">
        <v>222</v>
      </c>
      <c r="B642" s="13">
        <v>1850.2433142779728</v>
      </c>
      <c r="C642" s="13">
        <v>2168.9858157593512</v>
      </c>
      <c r="D642" s="13">
        <v>2179.8206173529784</v>
      </c>
      <c r="E642" s="13">
        <v>2179.8206173529784</v>
      </c>
      <c r="F642" s="13">
        <v>2121.949273529448</v>
      </c>
      <c r="G642" s="13">
        <v>1704</v>
      </c>
      <c r="H642" s="53">
        <v>1993</v>
      </c>
    </row>
    <row r="643" spans="1:8" x14ac:dyDescent="0.3">
      <c r="A643" s="24" t="s">
        <v>217</v>
      </c>
      <c r="B643" s="13">
        <v>3788.9976338593788</v>
      </c>
      <c r="C643" s="13">
        <v>2070.186571553957</v>
      </c>
      <c r="D643" s="13">
        <v>4179.5970539216405</v>
      </c>
      <c r="E643" s="13">
        <v>3858.0895882353602</v>
      </c>
      <c r="F643" s="13">
        <v>3090</v>
      </c>
      <c r="G643" s="13">
        <v>1897</v>
      </c>
      <c r="H643" s="53">
        <v>1929</v>
      </c>
    </row>
    <row r="644" spans="1:8" x14ac:dyDescent="0.3">
      <c r="A644" s="24" t="s">
        <v>194</v>
      </c>
      <c r="B644" s="13">
        <v>15362.977041846341</v>
      </c>
      <c r="C644" s="13">
        <v>15594.912527592423</v>
      </c>
      <c r="D644" s="13">
        <v>17370.3410546052</v>
      </c>
      <c r="E644" s="13">
        <v>19167.053375846408</v>
      </c>
      <c r="F644" s="13">
        <v>21969</v>
      </c>
      <c r="G644" s="13">
        <v>22585</v>
      </c>
      <c r="H644" s="53">
        <v>24276</v>
      </c>
    </row>
    <row r="645" spans="1:8" x14ac:dyDescent="0.3">
      <c r="A645" s="24"/>
      <c r="B645" s="38"/>
      <c r="C645" s="38"/>
      <c r="D645" s="38"/>
      <c r="E645" s="38"/>
      <c r="F645" s="38"/>
      <c r="G645" s="38"/>
      <c r="H645" s="43"/>
    </row>
    <row r="646" spans="1:8" x14ac:dyDescent="0.3">
      <c r="A646" s="29" t="s">
        <v>148</v>
      </c>
      <c r="B646" s="38"/>
      <c r="C646" s="38"/>
      <c r="D646" s="38"/>
      <c r="E646" s="38"/>
      <c r="F646" s="38"/>
      <c r="G646" s="38"/>
      <c r="H646" s="43"/>
    </row>
    <row r="647" spans="1:8" x14ac:dyDescent="0.3">
      <c r="A647" s="29" t="s">
        <v>49</v>
      </c>
      <c r="B647" s="40">
        <f>SUM(B648:B661)</f>
        <v>667836.26573486603</v>
      </c>
      <c r="C647" s="40">
        <f t="shared" ref="C647" si="12">SUM(C648:C661)</f>
        <v>686396.81845434022</v>
      </c>
      <c r="D647" s="40">
        <f t="shared" ref="D647" si="13">SUM(D648:D661)</f>
        <v>716541.9940215461</v>
      </c>
      <c r="E647" s="40">
        <f t="shared" ref="E647" si="14">SUM(E648:E661)</f>
        <v>764636.61565113091</v>
      </c>
      <c r="F647" s="40">
        <f t="shared" ref="F647" si="15">SUM(F648:F661)</f>
        <v>749267.30897159944</v>
      </c>
      <c r="G647" s="40">
        <f t="shared" ref="G647" si="16">SUM(G648:G661)</f>
        <v>819002.33142147434</v>
      </c>
      <c r="H647" s="67">
        <f t="shared" ref="H647" si="17">SUM(H648:H661)</f>
        <v>840235.47672123148</v>
      </c>
    </row>
    <row r="648" spans="1:8" x14ac:dyDescent="0.3">
      <c r="A648" s="24" t="s">
        <v>195</v>
      </c>
      <c r="B648" s="13">
        <v>100806.41531483966</v>
      </c>
      <c r="C648" s="13">
        <v>104049.84693021352</v>
      </c>
      <c r="D648" s="13">
        <v>114258.64133752152</v>
      </c>
      <c r="E648" s="13">
        <v>141808.87327847016</v>
      </c>
      <c r="F648" s="13">
        <v>133436.56129290001</v>
      </c>
      <c r="G648" s="13">
        <v>172327.75200000001</v>
      </c>
      <c r="H648" s="53">
        <v>173613.78</v>
      </c>
    </row>
    <row r="649" spans="1:8" x14ac:dyDescent="0.3">
      <c r="A649" s="24" t="s">
        <v>185</v>
      </c>
      <c r="B649" s="13">
        <v>86807.015736299989</v>
      </c>
      <c r="C649" s="13">
        <v>90022.090393199993</v>
      </c>
      <c r="D649" s="13">
        <v>93237.165050099997</v>
      </c>
      <c r="E649" s="13">
        <v>112527.61299149999</v>
      </c>
      <c r="F649" s="13">
        <v>118957.59</v>
      </c>
      <c r="G649" s="13">
        <v>125387.73</v>
      </c>
      <c r="H649" s="53">
        <v>128602.8</v>
      </c>
    </row>
    <row r="650" spans="1:8" x14ac:dyDescent="0.3">
      <c r="A650" s="24" t="s">
        <v>186</v>
      </c>
      <c r="B650" s="13">
        <v>112574</v>
      </c>
      <c r="C650" s="13">
        <v>118505</v>
      </c>
      <c r="D650" s="13">
        <v>126118</v>
      </c>
      <c r="E650" s="13">
        <v>117043</v>
      </c>
      <c r="F650" s="13">
        <v>109918.81027859953</v>
      </c>
      <c r="G650" s="13">
        <v>111911.98632147427</v>
      </c>
      <c r="H650" s="53">
        <v>118130.75472123144</v>
      </c>
    </row>
    <row r="651" spans="1:8" x14ac:dyDescent="0.3">
      <c r="A651" s="24" t="s">
        <v>196</v>
      </c>
      <c r="B651" s="13">
        <v>60411.252803150994</v>
      </c>
      <c r="C651" s="13">
        <v>61922.337891894</v>
      </c>
      <c r="D651" s="13">
        <v>52566.470640314998</v>
      </c>
      <c r="E651" s="13">
        <v>59928.991604616</v>
      </c>
      <c r="F651" s="13">
        <v>55459.957500000004</v>
      </c>
      <c r="G651" s="13">
        <v>55620.711000000003</v>
      </c>
      <c r="H651" s="53">
        <v>54656.19</v>
      </c>
    </row>
    <row r="652" spans="1:8" x14ac:dyDescent="0.3">
      <c r="A652" s="24" t="s">
        <v>189</v>
      </c>
      <c r="B652" s="13">
        <v>29300.004172219906</v>
      </c>
      <c r="C652" s="13">
        <v>36399.982140038454</v>
      </c>
      <c r="D652" s="13">
        <v>42200.008971832627</v>
      </c>
      <c r="E652" s="13">
        <v>43596.412347563994</v>
      </c>
      <c r="F652" s="13">
        <v>43403.445</v>
      </c>
      <c r="G652" s="13">
        <v>48226.05</v>
      </c>
      <c r="H652" s="53">
        <v>54656.19</v>
      </c>
    </row>
    <row r="653" spans="1:8" x14ac:dyDescent="0.3">
      <c r="A653" s="24" t="s">
        <v>197</v>
      </c>
      <c r="B653" s="13">
        <v>16878.788290512741</v>
      </c>
      <c r="C653" s="13">
        <v>35808.344101675713</v>
      </c>
      <c r="D653" s="13">
        <v>42622.244726523306</v>
      </c>
      <c r="E653" s="13">
        <v>40490.264420039763</v>
      </c>
      <c r="F653" s="13">
        <v>39017.639410199998</v>
      </c>
      <c r="G653" s="13">
        <v>38902.347000000002</v>
      </c>
      <c r="H653" s="53">
        <v>38580.840000000004</v>
      </c>
    </row>
    <row r="654" spans="1:8" x14ac:dyDescent="0.3">
      <c r="A654" s="24" t="s">
        <v>198</v>
      </c>
      <c r="B654" s="13">
        <v>38548.745136230995</v>
      </c>
      <c r="C654" s="13">
        <v>37327.016766608998</v>
      </c>
      <c r="D654" s="13">
        <v>38805.951108782996</v>
      </c>
      <c r="E654" s="13">
        <v>37970.031697989005</v>
      </c>
      <c r="F654" s="13">
        <v>37519.866900000001</v>
      </c>
      <c r="G654" s="13">
        <v>36973.305</v>
      </c>
      <c r="H654" s="53">
        <v>38580.840000000004</v>
      </c>
    </row>
    <row r="655" spans="1:8" x14ac:dyDescent="0.3">
      <c r="A655" s="24" t="s">
        <v>184</v>
      </c>
      <c r="B655" s="13">
        <v>62258.859756231723</v>
      </c>
      <c r="C655" s="13">
        <v>45172.441944376376</v>
      </c>
      <c r="D655" s="13">
        <v>41828.699999707242</v>
      </c>
      <c r="E655" s="13">
        <v>41367.979801373476</v>
      </c>
      <c r="F655" s="13">
        <v>41515.298690399999</v>
      </c>
      <c r="G655" s="13">
        <v>38259.332999999999</v>
      </c>
      <c r="H655" s="53">
        <v>36973.305</v>
      </c>
    </row>
    <row r="656" spans="1:8" x14ac:dyDescent="0.3">
      <c r="A656" s="24" t="s">
        <v>187</v>
      </c>
      <c r="B656" s="13">
        <v>41152.95560832</v>
      </c>
      <c r="C656" s="13">
        <v>40188.433211249998</v>
      </c>
      <c r="D656" s="13">
        <v>40188.433211249998</v>
      </c>
      <c r="E656" s="13">
        <v>41152.95560832</v>
      </c>
      <c r="F656" s="13">
        <v>36008.784</v>
      </c>
      <c r="G656" s="13">
        <v>34079.741999999998</v>
      </c>
      <c r="H656" s="53">
        <v>35044.262999999999</v>
      </c>
    </row>
    <row r="657" spans="1:8" x14ac:dyDescent="0.3">
      <c r="A657" s="24" t="s">
        <v>192</v>
      </c>
      <c r="B657" s="13">
        <v>27664.077734549479</v>
      </c>
      <c r="C657" s="13">
        <v>23396.41978572699</v>
      </c>
      <c r="D657" s="13">
        <v>20283.809558142395</v>
      </c>
      <c r="E657" s="13">
        <v>19163.80615066471</v>
      </c>
      <c r="F657" s="13">
        <v>18389.557386</v>
      </c>
      <c r="G657" s="13">
        <v>21315.914100000002</v>
      </c>
      <c r="H657" s="53">
        <v>23148.504000000001</v>
      </c>
    </row>
    <row r="658" spans="1:8" ht="14.4" thickBot="1" x14ac:dyDescent="0.35">
      <c r="A658" s="25" t="s">
        <v>194</v>
      </c>
      <c r="B658" s="15">
        <v>91434.151182510497</v>
      </c>
      <c r="C658" s="15">
        <v>93604.905289356218</v>
      </c>
      <c r="D658" s="15">
        <v>104432.56941737092</v>
      </c>
      <c r="E658" s="15">
        <v>109586.68775059386</v>
      </c>
      <c r="F658" s="15">
        <v>115639.79851350002</v>
      </c>
      <c r="G658" s="15">
        <v>135997.46100000001</v>
      </c>
      <c r="H658" s="54">
        <v>138248.01</v>
      </c>
    </row>
    <row r="660" spans="1:8" x14ac:dyDescent="0.3">
      <c r="A660" s="77" t="s">
        <v>418</v>
      </c>
      <c r="B660" s="77"/>
      <c r="C660" s="77"/>
      <c r="D660" s="77"/>
      <c r="E660" s="77"/>
      <c r="F660" s="77"/>
    </row>
    <row r="661" spans="1:8" x14ac:dyDescent="0.3">
      <c r="A661" s="77"/>
      <c r="B661" s="77"/>
      <c r="C661" s="77"/>
      <c r="D661" s="77"/>
      <c r="E661" s="77"/>
      <c r="F661" s="77"/>
    </row>
    <row r="662" spans="1:8" ht="14.4" thickBot="1" x14ac:dyDescent="0.35"/>
    <row r="663" spans="1:8" x14ac:dyDescent="0.3">
      <c r="A663" s="105" t="s">
        <v>223</v>
      </c>
      <c r="B663" s="113">
        <v>2007</v>
      </c>
      <c r="C663" s="105">
        <v>2008</v>
      </c>
      <c r="D663" s="105">
        <v>2009</v>
      </c>
      <c r="E663" s="105">
        <v>2010</v>
      </c>
      <c r="F663" s="105">
        <v>2011</v>
      </c>
      <c r="G663" s="105">
        <v>2012</v>
      </c>
      <c r="H663" s="105">
        <v>2013</v>
      </c>
    </row>
    <row r="664" spans="1:8" ht="14.4" thickBot="1" x14ac:dyDescent="0.35">
      <c r="A664" s="115"/>
      <c r="B664" s="114"/>
      <c r="C664" s="106"/>
      <c r="D664" s="106"/>
      <c r="E664" s="106"/>
      <c r="F664" s="106"/>
      <c r="G664" s="106"/>
      <c r="H664" s="106"/>
    </row>
    <row r="665" spans="1:8" x14ac:dyDescent="0.3">
      <c r="A665" s="29" t="s">
        <v>49</v>
      </c>
      <c r="B665" s="13">
        <v>1248815722.2099998</v>
      </c>
      <c r="C665" s="13">
        <v>1708059306.2900009</v>
      </c>
      <c r="D665" s="13">
        <v>2821596370.8099999</v>
      </c>
      <c r="E665" s="13">
        <v>4069444663.9900012</v>
      </c>
      <c r="F665" s="13">
        <v>7243368045.6300011</v>
      </c>
      <c r="G665" s="13">
        <v>8503332939.5299969</v>
      </c>
      <c r="H665" s="53">
        <v>9723847715.5500011</v>
      </c>
    </row>
    <row r="666" spans="1:8" x14ac:dyDescent="0.3">
      <c r="A666" s="24" t="s">
        <v>224</v>
      </c>
      <c r="B666" s="13">
        <v>63768993.810000017</v>
      </c>
      <c r="C666" s="13">
        <v>141038943.88000005</v>
      </c>
      <c r="D666" s="13">
        <v>319825374.37</v>
      </c>
      <c r="E666" s="13">
        <v>416011992.68000019</v>
      </c>
      <c r="F666" s="13">
        <v>1124690664.0200002</v>
      </c>
      <c r="G666" s="13">
        <v>1139598255.5300004</v>
      </c>
      <c r="H666" s="53">
        <v>1404301909.2699997</v>
      </c>
    </row>
    <row r="667" spans="1:8" x14ac:dyDescent="0.3">
      <c r="A667" s="24" t="s">
        <v>225</v>
      </c>
      <c r="B667" s="13">
        <v>125551261.50000012</v>
      </c>
      <c r="C667" s="13">
        <v>176688011.64000005</v>
      </c>
      <c r="D667" s="13">
        <v>499659326.56</v>
      </c>
      <c r="E667" s="13">
        <v>518078947.39999992</v>
      </c>
      <c r="F667" s="13">
        <v>776137869.18999994</v>
      </c>
      <c r="G667" s="13">
        <v>525252803.30000025</v>
      </c>
      <c r="H667" s="53">
        <v>778849648.95000017</v>
      </c>
    </row>
    <row r="668" spans="1:8" x14ac:dyDescent="0.3">
      <c r="A668" s="24" t="s">
        <v>226</v>
      </c>
      <c r="B668" s="13">
        <v>136592095.34999987</v>
      </c>
      <c r="C668" s="13">
        <v>167839351.16000009</v>
      </c>
      <c r="D668" s="13">
        <v>393534655.86000031</v>
      </c>
      <c r="E668" s="13">
        <v>615815226.55000031</v>
      </c>
      <c r="F668" s="13">
        <v>865423283.7299999</v>
      </c>
      <c r="G668" s="13">
        <v>905401645.29999876</v>
      </c>
      <c r="H668" s="53">
        <v>774008004.77999985</v>
      </c>
    </row>
    <row r="669" spans="1:8" x14ac:dyDescent="0.3">
      <c r="A669" s="24" t="s">
        <v>227</v>
      </c>
      <c r="B669" s="13">
        <v>338016660.14999992</v>
      </c>
      <c r="C669" s="13">
        <v>440246645.04000002</v>
      </c>
      <c r="D669" s="13">
        <v>531388348.85000008</v>
      </c>
      <c r="E669" s="13">
        <v>737890193.10000026</v>
      </c>
      <c r="F669" s="13">
        <v>869691351.52000022</v>
      </c>
      <c r="G669" s="13">
        <v>1005399266.3800005</v>
      </c>
      <c r="H669" s="53">
        <v>1071915416.9700001</v>
      </c>
    </row>
    <row r="670" spans="1:8" x14ac:dyDescent="0.3">
      <c r="A670" s="24" t="s">
        <v>228</v>
      </c>
      <c r="B670" s="13">
        <v>336788377.4199999</v>
      </c>
      <c r="C670" s="13">
        <v>321482441.07000053</v>
      </c>
      <c r="D670" s="13">
        <v>376380329.33999985</v>
      </c>
      <c r="E670" s="13">
        <v>827591968.73000014</v>
      </c>
      <c r="F670" s="13">
        <v>1406853178.3000002</v>
      </c>
      <c r="G670" s="13">
        <v>1797081532.7700002</v>
      </c>
      <c r="H670" s="53">
        <v>1709625769.5500002</v>
      </c>
    </row>
    <row r="671" spans="1:8" x14ac:dyDescent="0.3">
      <c r="A671" s="24" t="s">
        <v>230</v>
      </c>
      <c r="B671" s="13">
        <v>50179972.590000115</v>
      </c>
      <c r="C671" s="13">
        <v>131980227.86999997</v>
      </c>
      <c r="D671" s="13">
        <v>196060821.38999996</v>
      </c>
      <c r="E671" s="13">
        <v>510276007.17000002</v>
      </c>
      <c r="F671" s="13">
        <v>788223910.9199996</v>
      </c>
      <c r="G671" s="13">
        <v>638740607.01000023</v>
      </c>
      <c r="H671" s="53">
        <v>351088998.33000004</v>
      </c>
    </row>
    <row r="672" spans="1:8" ht="14.4" thickBot="1" x14ac:dyDescent="0.35">
      <c r="A672" s="25" t="s">
        <v>229</v>
      </c>
      <c r="B672" s="14">
        <v>197918361.38999981</v>
      </c>
      <c r="C672" s="15">
        <v>328783685.63000011</v>
      </c>
      <c r="D672" s="15">
        <v>504747514.43999976</v>
      </c>
      <c r="E672" s="15">
        <v>443780328.36000001</v>
      </c>
      <c r="F672" s="15">
        <v>1412347787.9500005</v>
      </c>
      <c r="G672" s="15">
        <v>2491858829.2399955</v>
      </c>
      <c r="H672" s="54">
        <v>3634057967.7000008</v>
      </c>
    </row>
    <row r="674" spans="1:6" x14ac:dyDescent="0.3">
      <c r="A674" s="77" t="s">
        <v>419</v>
      </c>
      <c r="B674" s="77"/>
      <c r="C674" s="77"/>
      <c r="D674" s="77"/>
      <c r="E674" s="77"/>
      <c r="F674" s="77"/>
    </row>
    <row r="675" spans="1:6" x14ac:dyDescent="0.3">
      <c r="A675" s="77"/>
      <c r="B675" s="77"/>
      <c r="C675" s="77"/>
      <c r="D675" s="77"/>
      <c r="E675" s="77"/>
      <c r="F675" s="77"/>
    </row>
    <row r="677" spans="1:6" ht="14.4" thickBot="1" x14ac:dyDescent="0.35"/>
    <row r="678" spans="1:6" x14ac:dyDescent="0.3">
      <c r="A678" s="105" t="s">
        <v>267</v>
      </c>
      <c r="B678" s="46">
        <v>2012</v>
      </c>
      <c r="C678" s="46">
        <v>2013</v>
      </c>
      <c r="D678" s="105" t="s">
        <v>268</v>
      </c>
    </row>
    <row r="679" spans="1:6" ht="14.4" thickBot="1" x14ac:dyDescent="0.35">
      <c r="A679" s="115"/>
      <c r="B679" s="47"/>
      <c r="C679" s="47"/>
      <c r="D679" s="106"/>
    </row>
    <row r="680" spans="1:6" x14ac:dyDescent="0.3">
      <c r="A680" s="29" t="s">
        <v>49</v>
      </c>
      <c r="B680" s="13">
        <f>SUM(B681:B731)</f>
        <v>8503332939.5300016</v>
      </c>
      <c r="C680" s="13">
        <f>SUM(C681:C731)</f>
        <v>9723847715.5500011</v>
      </c>
      <c r="D680" s="74">
        <f t="shared" ref="D680:D711" si="18">C680/$C$680*100%</f>
        <v>1</v>
      </c>
    </row>
    <row r="681" spans="1:6" x14ac:dyDescent="0.3">
      <c r="A681" s="24" t="s">
        <v>231</v>
      </c>
      <c r="B681" s="13">
        <v>427249815</v>
      </c>
      <c r="C681" s="13">
        <v>626730279</v>
      </c>
      <c r="D681" s="74">
        <f t="shared" si="18"/>
        <v>6.4452909726029253E-2</v>
      </c>
    </row>
    <row r="682" spans="1:6" x14ac:dyDescent="0.3">
      <c r="A682" s="24" t="s">
        <v>232</v>
      </c>
      <c r="B682" s="13">
        <v>1028371575.9900004</v>
      </c>
      <c r="C682" s="13">
        <v>1708627367.9999995</v>
      </c>
      <c r="D682" s="74">
        <f t="shared" si="18"/>
        <v>0.17571515083145828</v>
      </c>
    </row>
    <row r="683" spans="1:6" x14ac:dyDescent="0.3">
      <c r="A683" s="24" t="s">
        <v>72</v>
      </c>
      <c r="B683" s="13">
        <v>1023074397.8099999</v>
      </c>
      <c r="C683" s="13">
        <v>303760191.99000001</v>
      </c>
      <c r="D683" s="74">
        <f t="shared" si="18"/>
        <v>3.1238682554050951E-2</v>
      </c>
    </row>
    <row r="684" spans="1:6" x14ac:dyDescent="0.3">
      <c r="A684" s="24" t="s">
        <v>233</v>
      </c>
      <c r="B684" s="13">
        <v>1182446590.97</v>
      </c>
      <c r="C684" s="13">
        <v>1188048182.2700002</v>
      </c>
      <c r="D684" s="74">
        <f t="shared" si="18"/>
        <v>0.1221788140892128</v>
      </c>
    </row>
    <row r="685" spans="1:6" x14ac:dyDescent="0.3">
      <c r="A685" s="24" t="s">
        <v>234</v>
      </c>
      <c r="B685" s="13">
        <v>600872711</v>
      </c>
      <c r="C685" s="13">
        <v>1073228206</v>
      </c>
      <c r="D685" s="74">
        <f t="shared" si="18"/>
        <v>0.1103707336226312</v>
      </c>
    </row>
    <row r="686" spans="1:6" x14ac:dyDescent="0.3">
      <c r="A686" s="24" t="s">
        <v>235</v>
      </c>
      <c r="B686" s="13">
        <v>656835465</v>
      </c>
      <c r="C686" s="13">
        <v>539306698</v>
      </c>
      <c r="D686" s="74">
        <f t="shared" si="18"/>
        <v>5.5462273142920737E-2</v>
      </c>
    </row>
    <row r="687" spans="1:6" x14ac:dyDescent="0.3">
      <c r="A687" s="24" t="s">
        <v>236</v>
      </c>
      <c r="B687" s="13">
        <v>63480465</v>
      </c>
      <c r="C687" s="13">
        <v>387083774</v>
      </c>
      <c r="D687" s="74">
        <f t="shared" si="18"/>
        <v>3.980767545145638E-2</v>
      </c>
    </row>
    <row r="688" spans="1:6" x14ac:dyDescent="0.3">
      <c r="A688" s="24" t="s">
        <v>237</v>
      </c>
      <c r="B688" s="13">
        <v>208173018.72999993</v>
      </c>
      <c r="C688" s="13">
        <v>177461583.83000013</v>
      </c>
      <c r="D688" s="74">
        <f t="shared" si="18"/>
        <v>1.8250140173031549E-2</v>
      </c>
    </row>
    <row r="689" spans="1:4" x14ac:dyDescent="0.3">
      <c r="A689" s="24" t="s">
        <v>238</v>
      </c>
      <c r="B689" s="13">
        <v>143959068</v>
      </c>
      <c r="C689" s="13">
        <v>170073378</v>
      </c>
      <c r="D689" s="74">
        <f t="shared" si="18"/>
        <v>1.7490337464666918E-2</v>
      </c>
    </row>
    <row r="690" spans="1:4" x14ac:dyDescent="0.3">
      <c r="A690" s="24" t="s">
        <v>26</v>
      </c>
      <c r="B690" s="13">
        <v>91213068.189999998</v>
      </c>
      <c r="C690" s="13">
        <v>66394517.600000001</v>
      </c>
      <c r="D690" s="74">
        <f t="shared" si="18"/>
        <v>6.8280087823490345E-3</v>
      </c>
    </row>
    <row r="691" spans="1:4" x14ac:dyDescent="0.3">
      <c r="A691" s="24" t="s">
        <v>239</v>
      </c>
      <c r="B691" s="13">
        <v>64902140.259999998</v>
      </c>
      <c r="C691" s="13">
        <v>39308344.840000004</v>
      </c>
      <c r="D691" s="74">
        <f t="shared" si="18"/>
        <v>4.0424681658824853E-3</v>
      </c>
    </row>
    <row r="692" spans="1:4" x14ac:dyDescent="0.3">
      <c r="A692" s="24" t="s">
        <v>240</v>
      </c>
      <c r="B692" s="13">
        <v>136510961.79000005</v>
      </c>
      <c r="C692" s="13">
        <v>122992657.87999998</v>
      </c>
      <c r="D692" s="74">
        <f t="shared" si="18"/>
        <v>1.264855862389894E-2</v>
      </c>
    </row>
    <row r="693" spans="1:4" x14ac:dyDescent="0.3">
      <c r="A693" s="24" t="s">
        <v>241</v>
      </c>
      <c r="B693" s="13">
        <v>190535112</v>
      </c>
      <c r="C693" s="13">
        <v>144191914</v>
      </c>
      <c r="D693" s="74">
        <f t="shared" si="18"/>
        <v>1.4828689035248246E-2</v>
      </c>
    </row>
    <row r="694" spans="1:4" x14ac:dyDescent="0.3">
      <c r="A694" s="24" t="s">
        <v>242</v>
      </c>
      <c r="B694" s="13">
        <v>6492676.1200000001</v>
      </c>
      <c r="C694" s="13">
        <v>531774288.87999994</v>
      </c>
      <c r="D694" s="74">
        <f t="shared" si="18"/>
        <v>5.4687640575613608E-2</v>
      </c>
    </row>
    <row r="695" spans="1:4" x14ac:dyDescent="0.3">
      <c r="A695" s="24" t="s">
        <v>243</v>
      </c>
      <c r="B695" s="13">
        <v>215604266.91999999</v>
      </c>
      <c r="C695" s="13">
        <v>75822350.939999998</v>
      </c>
      <c r="D695" s="74">
        <f t="shared" si="18"/>
        <v>7.7975666791601254E-3</v>
      </c>
    </row>
    <row r="696" spans="1:4" x14ac:dyDescent="0.3">
      <c r="A696" s="24" t="s">
        <v>74</v>
      </c>
      <c r="B696" s="13">
        <v>252036391.25999993</v>
      </c>
      <c r="C696" s="13">
        <v>208830235.68000004</v>
      </c>
      <c r="D696" s="74">
        <f t="shared" si="18"/>
        <v>2.1476090719319555E-2</v>
      </c>
    </row>
    <row r="697" spans="1:4" x14ac:dyDescent="0.3">
      <c r="A697" s="24" t="s">
        <v>47</v>
      </c>
      <c r="B697" s="13">
        <v>112008746.31</v>
      </c>
      <c r="C697" s="13">
        <v>123420935.73</v>
      </c>
      <c r="D697" s="74">
        <f t="shared" si="18"/>
        <v>1.2692602696011994E-2</v>
      </c>
    </row>
    <row r="698" spans="1:4" x14ac:dyDescent="0.3">
      <c r="A698" s="24" t="s">
        <v>27</v>
      </c>
      <c r="B698" s="13">
        <v>91019613</v>
      </c>
      <c r="C698" s="13">
        <v>170383312</v>
      </c>
      <c r="D698" s="74">
        <f t="shared" si="18"/>
        <v>1.7522211061319851E-2</v>
      </c>
    </row>
    <row r="699" spans="1:4" x14ac:dyDescent="0.3">
      <c r="A699" s="24" t="s">
        <v>244</v>
      </c>
      <c r="B699" s="13">
        <v>37123526.82</v>
      </c>
      <c r="C699" s="13">
        <v>47908751.490000002</v>
      </c>
      <c r="D699" s="74">
        <f t="shared" si="18"/>
        <v>4.9269335443608581E-3</v>
      </c>
    </row>
    <row r="700" spans="1:4" x14ac:dyDescent="0.3">
      <c r="A700" s="24" t="s">
        <v>245</v>
      </c>
      <c r="B700" s="13">
        <v>75073946</v>
      </c>
      <c r="C700" s="13">
        <v>136600000</v>
      </c>
      <c r="D700" s="74">
        <f t="shared" si="18"/>
        <v>1.4047936989135952E-2</v>
      </c>
    </row>
    <row r="701" spans="1:4" x14ac:dyDescent="0.3">
      <c r="A701" s="24" t="s">
        <v>246</v>
      </c>
      <c r="B701" s="13">
        <v>68088380</v>
      </c>
      <c r="C701" s="13">
        <v>41346090</v>
      </c>
      <c r="D701" s="74">
        <f t="shared" si="18"/>
        <v>4.2520297735515675E-3</v>
      </c>
    </row>
    <row r="702" spans="1:4" x14ac:dyDescent="0.3">
      <c r="A702" s="24" t="s">
        <v>247</v>
      </c>
      <c r="B702" s="13">
        <v>59455320.070000008</v>
      </c>
      <c r="C702" s="13">
        <v>51552742.930000007</v>
      </c>
      <c r="D702" s="74">
        <f t="shared" si="18"/>
        <v>5.3016814370260915E-3</v>
      </c>
    </row>
    <row r="703" spans="1:4" x14ac:dyDescent="0.3">
      <c r="A703" s="24" t="s">
        <v>35</v>
      </c>
      <c r="B703" s="13">
        <v>84713457.559999987</v>
      </c>
      <c r="C703" s="13">
        <v>91721832.689999998</v>
      </c>
      <c r="D703" s="74">
        <f t="shared" si="18"/>
        <v>9.4326685663044668E-3</v>
      </c>
    </row>
    <row r="704" spans="1:4" x14ac:dyDescent="0.3">
      <c r="A704" s="24" t="s">
        <v>248</v>
      </c>
      <c r="B704" s="13">
        <v>70439368</v>
      </c>
      <c r="C704" s="13">
        <v>58663531</v>
      </c>
      <c r="D704" s="74">
        <f t="shared" si="18"/>
        <v>6.0329545171905101E-3</v>
      </c>
    </row>
    <row r="705" spans="1:4" x14ac:dyDescent="0.3">
      <c r="A705" s="24" t="s">
        <v>61</v>
      </c>
      <c r="B705" s="13">
        <v>54666618.480000019</v>
      </c>
      <c r="C705" s="13">
        <v>197054593.91999999</v>
      </c>
      <c r="D705" s="74">
        <f t="shared" si="18"/>
        <v>2.0265084325094676E-2</v>
      </c>
    </row>
    <row r="706" spans="1:4" x14ac:dyDescent="0.3">
      <c r="A706" s="24" t="s">
        <v>43</v>
      </c>
      <c r="B706" s="13">
        <v>131214482.00000001</v>
      </c>
      <c r="C706" s="13">
        <v>38838396</v>
      </c>
      <c r="D706" s="74">
        <f t="shared" si="18"/>
        <v>3.9941386512965579E-3</v>
      </c>
    </row>
    <row r="707" spans="1:4" x14ac:dyDescent="0.3">
      <c r="A707" s="24" t="s">
        <v>249</v>
      </c>
      <c r="B707" s="13">
        <v>33561560.329999998</v>
      </c>
      <c r="C707" s="13">
        <v>35397715.730000004</v>
      </c>
      <c r="D707" s="74">
        <f t="shared" si="18"/>
        <v>3.6402992689193751E-3</v>
      </c>
    </row>
    <row r="708" spans="1:4" x14ac:dyDescent="0.3">
      <c r="A708" s="24" t="s">
        <v>250</v>
      </c>
      <c r="B708" s="13">
        <v>24845844.52</v>
      </c>
      <c r="C708" s="13">
        <v>17480227.419999998</v>
      </c>
      <c r="D708" s="74">
        <f t="shared" si="18"/>
        <v>1.7976656907168851E-3</v>
      </c>
    </row>
    <row r="709" spans="1:4" x14ac:dyDescent="0.3">
      <c r="A709" s="24" t="s">
        <v>251</v>
      </c>
      <c r="B709" s="13">
        <v>45082907.640000001</v>
      </c>
      <c r="C709" s="13">
        <v>54542390</v>
      </c>
      <c r="D709" s="74">
        <f t="shared" si="18"/>
        <v>5.6091365882641213E-3</v>
      </c>
    </row>
    <row r="710" spans="1:4" x14ac:dyDescent="0.3">
      <c r="A710" s="24" t="s">
        <v>252</v>
      </c>
      <c r="B710" s="13">
        <v>38853446.830000013</v>
      </c>
      <c r="C710" s="13">
        <v>23143968.430000003</v>
      </c>
      <c r="D710" s="74">
        <f t="shared" si="18"/>
        <v>2.3801245254992079E-3</v>
      </c>
    </row>
    <row r="711" spans="1:4" x14ac:dyDescent="0.3">
      <c r="A711" s="24" t="s">
        <v>253</v>
      </c>
      <c r="B711" s="13">
        <v>33524862.5</v>
      </c>
      <c r="C711" s="13">
        <v>149416706.44</v>
      </c>
      <c r="D711" s="74">
        <f t="shared" si="18"/>
        <v>1.5366006421620382E-2</v>
      </c>
    </row>
    <row r="712" spans="1:4" x14ac:dyDescent="0.3">
      <c r="A712" s="24" t="s">
        <v>254</v>
      </c>
      <c r="B712" s="13">
        <v>43327331.439999998</v>
      </c>
      <c r="C712" s="13">
        <v>22900766.920000006</v>
      </c>
      <c r="D712" s="74">
        <f t="shared" ref="D712:D731" si="19">C712/$C$680*100%</f>
        <v>2.3551136946928924E-3</v>
      </c>
    </row>
    <row r="713" spans="1:4" x14ac:dyDescent="0.3">
      <c r="A713" s="24" t="s">
        <v>255</v>
      </c>
      <c r="B713" s="13">
        <v>31249564.340000004</v>
      </c>
      <c r="C713" s="13">
        <v>117220130.69999999</v>
      </c>
      <c r="D713" s="74">
        <f t="shared" si="19"/>
        <v>1.2054912224977165E-2</v>
      </c>
    </row>
    <row r="714" spans="1:4" x14ac:dyDescent="0.3">
      <c r="A714" s="24" t="s">
        <v>256</v>
      </c>
      <c r="B714" s="13">
        <v>45059844</v>
      </c>
      <c r="C714" s="13">
        <v>31149212</v>
      </c>
      <c r="D714" s="74">
        <f t="shared" si="19"/>
        <v>3.2033833633765556E-3</v>
      </c>
    </row>
    <row r="715" spans="1:4" x14ac:dyDescent="0.3">
      <c r="A715" s="24" t="s">
        <v>257</v>
      </c>
      <c r="B715" s="13">
        <v>53210224.659999996</v>
      </c>
      <c r="C715" s="13">
        <v>16204133</v>
      </c>
      <c r="D715" s="74">
        <f t="shared" si="19"/>
        <v>1.666432206058408E-3</v>
      </c>
    </row>
    <row r="716" spans="1:4" x14ac:dyDescent="0.3">
      <c r="A716" s="24" t="s">
        <v>34</v>
      </c>
      <c r="B716" s="13">
        <v>29244668.510000005</v>
      </c>
      <c r="C716" s="13">
        <v>19147106.399999995</v>
      </c>
      <c r="D716" s="74">
        <f t="shared" si="19"/>
        <v>1.9690874394691191E-3</v>
      </c>
    </row>
    <row r="717" spans="1:4" x14ac:dyDescent="0.3">
      <c r="A717" s="24" t="s">
        <v>258</v>
      </c>
      <c r="B717" s="13">
        <v>7776041.9800000004</v>
      </c>
      <c r="C717" s="13">
        <v>4934052.3699999992</v>
      </c>
      <c r="D717" s="74">
        <f t="shared" si="19"/>
        <v>5.0741769249529215E-4</v>
      </c>
    </row>
    <row r="718" spans="1:4" x14ac:dyDescent="0.3">
      <c r="A718" s="24" t="s">
        <v>80</v>
      </c>
      <c r="B718" s="13">
        <v>18115709.93</v>
      </c>
      <c r="C718" s="13">
        <v>15790111.700000003</v>
      </c>
      <c r="D718" s="74">
        <f t="shared" si="19"/>
        <v>1.6238542768156547E-3</v>
      </c>
    </row>
    <row r="719" spans="1:4" x14ac:dyDescent="0.3">
      <c r="A719" s="24" t="s">
        <v>259</v>
      </c>
      <c r="B719" s="13">
        <v>38471525.609999999</v>
      </c>
      <c r="C719" s="13">
        <v>23009967.039999999</v>
      </c>
      <c r="D719" s="74">
        <f t="shared" si="19"/>
        <v>2.3663438294291004E-3</v>
      </c>
    </row>
    <row r="720" spans="1:4" x14ac:dyDescent="0.3">
      <c r="A720" s="24" t="s">
        <v>40</v>
      </c>
      <c r="B720" s="13">
        <v>7948895.8499999996</v>
      </c>
      <c r="C720" s="13">
        <v>2804128.5899999994</v>
      </c>
      <c r="D720" s="74">
        <f t="shared" si="19"/>
        <v>2.8837644027638828E-4</v>
      </c>
    </row>
    <row r="721" spans="1:6" x14ac:dyDescent="0.3">
      <c r="A721" s="24" t="s">
        <v>260</v>
      </c>
      <c r="B721" s="13">
        <v>24137965</v>
      </c>
      <c r="C721" s="13">
        <v>33049129</v>
      </c>
      <c r="D721" s="74">
        <f t="shared" si="19"/>
        <v>3.3987707301451368E-3</v>
      </c>
    </row>
    <row r="722" spans="1:6" x14ac:dyDescent="0.3">
      <c r="A722" s="24" t="s">
        <v>261</v>
      </c>
      <c r="B722" s="13">
        <v>16330185.779999999</v>
      </c>
      <c r="C722" s="13">
        <v>17159192.77</v>
      </c>
      <c r="D722" s="74">
        <f t="shared" si="19"/>
        <v>1.7646505037876808E-3</v>
      </c>
    </row>
    <row r="723" spans="1:6" x14ac:dyDescent="0.3">
      <c r="A723" s="24" t="s">
        <v>262</v>
      </c>
      <c r="B723" s="13">
        <v>21578685.379999995</v>
      </c>
      <c r="C723" s="13">
        <v>21858453</v>
      </c>
      <c r="D723" s="74">
        <f t="shared" si="19"/>
        <v>2.2479221846558547E-3</v>
      </c>
    </row>
    <row r="724" spans="1:6" x14ac:dyDescent="0.3">
      <c r="A724" s="24" t="s">
        <v>263</v>
      </c>
      <c r="B724" s="13">
        <v>21352874</v>
      </c>
      <c r="C724" s="13">
        <v>15001470</v>
      </c>
      <c r="D724" s="74">
        <f t="shared" si="19"/>
        <v>1.5427504048639337E-3</v>
      </c>
    </row>
    <row r="725" spans="1:6" x14ac:dyDescent="0.3">
      <c r="A725" s="24" t="s">
        <v>264</v>
      </c>
      <c r="B725" s="13">
        <v>27092997.939999998</v>
      </c>
      <c r="C725" s="13">
        <v>19542283.609999999</v>
      </c>
      <c r="D725" s="74">
        <f t="shared" si="19"/>
        <v>2.0097274434634281E-3</v>
      </c>
    </row>
    <row r="726" spans="1:6" x14ac:dyDescent="0.3">
      <c r="A726" s="24" t="s">
        <v>265</v>
      </c>
      <c r="B726" s="13">
        <v>27330394</v>
      </c>
      <c r="C726" s="13">
        <v>22066985</v>
      </c>
      <c r="D726" s="74">
        <f t="shared" si="19"/>
        <v>2.2693676048331497E-3</v>
      </c>
    </row>
    <row r="727" spans="1:6" x14ac:dyDescent="0.3">
      <c r="A727" s="24" t="s">
        <v>82</v>
      </c>
      <c r="B727" s="13">
        <v>46734356</v>
      </c>
      <c r="C727" s="13">
        <v>19867345</v>
      </c>
      <c r="D727" s="74">
        <f t="shared" si="19"/>
        <v>2.0431567401275638E-3</v>
      </c>
    </row>
    <row r="728" spans="1:6" x14ac:dyDescent="0.3">
      <c r="A728" s="24" t="s">
        <v>77</v>
      </c>
      <c r="B728" s="13">
        <v>20539167.289999999</v>
      </c>
      <c r="C728" s="13">
        <v>25470112.73</v>
      </c>
      <c r="D728" s="74">
        <f t="shared" si="19"/>
        <v>2.6193450859240816E-3</v>
      </c>
    </row>
    <row r="729" spans="1:6" x14ac:dyDescent="0.3">
      <c r="A729" s="24" t="s">
        <v>87</v>
      </c>
      <c r="B729" s="13">
        <v>11350128</v>
      </c>
      <c r="C729" s="13">
        <v>15424494</v>
      </c>
      <c r="D729" s="74">
        <f t="shared" si="19"/>
        <v>1.5862541713126323E-3</v>
      </c>
    </row>
    <row r="730" spans="1:6" x14ac:dyDescent="0.3">
      <c r="A730" s="24" t="s">
        <v>266</v>
      </c>
      <c r="B730" s="13">
        <v>31505331</v>
      </c>
      <c r="C730" s="13">
        <v>21436882.359999999</v>
      </c>
      <c r="D730" s="74">
        <f t="shared" si="19"/>
        <v>2.2045678816749637E-3</v>
      </c>
    </row>
    <row r="731" spans="1:6" ht="14.4" thickBot="1" x14ac:dyDescent="0.35">
      <c r="A731" s="25" t="s">
        <v>71</v>
      </c>
      <c r="B731" s="15">
        <v>729547244.72000122</v>
      </c>
      <c r="C731" s="15">
        <v>658706594.66999626</v>
      </c>
      <c r="D731" s="75">
        <f t="shared" si="19"/>
        <v>6.7741352388377918E-2</v>
      </c>
    </row>
    <row r="733" spans="1:6" x14ac:dyDescent="0.3">
      <c r="A733" s="77" t="s">
        <v>420</v>
      </c>
      <c r="B733" s="77"/>
      <c r="C733" s="77"/>
      <c r="D733" s="77"/>
      <c r="E733" s="77"/>
      <c r="F733" s="77"/>
    </row>
    <row r="734" spans="1:6" x14ac:dyDescent="0.3">
      <c r="A734" s="77"/>
      <c r="B734" s="77"/>
      <c r="C734" s="77"/>
      <c r="D734" s="77"/>
      <c r="E734" s="77"/>
      <c r="F734" s="77"/>
    </row>
    <row r="736" spans="1:6" ht="14.4" thickBot="1" x14ac:dyDescent="0.35"/>
    <row r="737" spans="1:4" x14ac:dyDescent="0.3">
      <c r="A737" s="105" t="s">
        <v>114</v>
      </c>
      <c r="B737" s="113">
        <v>2012</v>
      </c>
      <c r="C737" s="105">
        <v>2013</v>
      </c>
      <c r="D737" s="90" t="s">
        <v>269</v>
      </c>
    </row>
    <row r="738" spans="1:4" ht="14.4" thickBot="1" x14ac:dyDescent="0.35">
      <c r="A738" s="115"/>
      <c r="B738" s="114"/>
      <c r="C738" s="106"/>
      <c r="D738" s="116"/>
    </row>
    <row r="739" spans="1:4" x14ac:dyDescent="0.3">
      <c r="A739" s="29" t="s">
        <v>49</v>
      </c>
      <c r="B739" s="13">
        <f>SUM(B740:B790)</f>
        <v>8503332939.5300007</v>
      </c>
      <c r="C739" s="13">
        <f>SUM(C740:C790)</f>
        <v>9723847715.5499973</v>
      </c>
      <c r="D739" s="74">
        <f>C739/$C$739*100%</f>
        <v>1</v>
      </c>
    </row>
    <row r="740" spans="1:4" x14ac:dyDescent="0.3">
      <c r="A740" s="24" t="s">
        <v>117</v>
      </c>
      <c r="B740" s="13">
        <v>744595363.58000004</v>
      </c>
      <c r="C740" s="13">
        <v>1394171312.8700001</v>
      </c>
      <c r="D740" s="74">
        <f t="shared" ref="D740:D761" si="20">C740/$C$739*100%</f>
        <v>0.14337650626104478</v>
      </c>
    </row>
    <row r="741" spans="1:4" x14ac:dyDescent="0.3">
      <c r="A741" s="24" t="s">
        <v>123</v>
      </c>
      <c r="B741" s="13">
        <v>1303164838.6199999</v>
      </c>
      <c r="C741" s="13">
        <v>579075935.95000005</v>
      </c>
      <c r="D741" s="74">
        <f t="shared" si="20"/>
        <v>5.9552139532580754E-2</v>
      </c>
    </row>
    <row r="742" spans="1:4" x14ac:dyDescent="0.3">
      <c r="A742" s="24" t="s">
        <v>131</v>
      </c>
      <c r="B742" s="13">
        <v>460076562.64999992</v>
      </c>
      <c r="C742" s="13">
        <v>1173386554.5299997</v>
      </c>
      <c r="D742" s="74">
        <f t="shared" si="20"/>
        <v>0.1206710130449252</v>
      </c>
    </row>
    <row r="743" spans="1:4" x14ac:dyDescent="0.3">
      <c r="A743" s="24" t="s">
        <v>126</v>
      </c>
      <c r="B743" s="13">
        <v>1469083823.3600001</v>
      </c>
      <c r="C743" s="13">
        <v>1506524226.24</v>
      </c>
      <c r="D743" s="74">
        <f t="shared" si="20"/>
        <v>0.15493087410560999</v>
      </c>
    </row>
    <row r="744" spans="1:4" x14ac:dyDescent="0.3">
      <c r="A744" s="24" t="s">
        <v>132</v>
      </c>
      <c r="B744" s="13">
        <v>1055543935.8700001</v>
      </c>
      <c r="C744" s="13">
        <v>1745350340.1499999</v>
      </c>
      <c r="D744" s="74">
        <f t="shared" si="20"/>
        <v>0.17949173940259305</v>
      </c>
    </row>
    <row r="745" spans="1:4" x14ac:dyDescent="0.3">
      <c r="A745" s="24" t="s">
        <v>116</v>
      </c>
      <c r="B745" s="13">
        <v>913841307.42000008</v>
      </c>
      <c r="C745" s="13">
        <v>736634062.06999993</v>
      </c>
      <c r="D745" s="74">
        <f t="shared" si="20"/>
        <v>7.5755409136241764E-2</v>
      </c>
    </row>
    <row r="746" spans="1:4" x14ac:dyDescent="0.3">
      <c r="A746" s="24" t="s">
        <v>129</v>
      </c>
      <c r="B746" s="13">
        <v>678558214.05999994</v>
      </c>
      <c r="C746" s="13">
        <v>629123866.69999993</v>
      </c>
      <c r="D746" s="74">
        <f t="shared" si="20"/>
        <v>6.4699066162248672E-2</v>
      </c>
    </row>
    <row r="747" spans="1:4" x14ac:dyDescent="0.3">
      <c r="A747" s="24" t="s">
        <v>121</v>
      </c>
      <c r="B747" s="13">
        <v>381376018.93000001</v>
      </c>
      <c r="C747" s="13">
        <v>572218060.05000007</v>
      </c>
      <c r="D747" s="74">
        <f t="shared" si="20"/>
        <v>5.8846875926998665E-2</v>
      </c>
    </row>
    <row r="748" spans="1:4" x14ac:dyDescent="0.3">
      <c r="A748" s="24" t="s">
        <v>118</v>
      </c>
      <c r="B748" s="13">
        <v>309078519.11000001</v>
      </c>
      <c r="C748" s="13">
        <v>373274310.71000004</v>
      </c>
      <c r="D748" s="74">
        <f t="shared" si="20"/>
        <v>3.8387510955470265E-2</v>
      </c>
    </row>
    <row r="749" spans="1:4" x14ac:dyDescent="0.3">
      <c r="A749" s="24" t="s">
        <v>124</v>
      </c>
      <c r="B749" s="13">
        <v>286291375.69</v>
      </c>
      <c r="C749" s="13">
        <v>321273582.05999994</v>
      </c>
      <c r="D749" s="74">
        <f t="shared" si="20"/>
        <v>3.3039758689991802E-2</v>
      </c>
    </row>
    <row r="750" spans="1:4" x14ac:dyDescent="0.3">
      <c r="A750" s="24" t="s">
        <v>120</v>
      </c>
      <c r="B750" s="13">
        <v>209634607.50999999</v>
      </c>
      <c r="C750" s="13">
        <v>206062928</v>
      </c>
      <c r="D750" s="74">
        <f t="shared" si="20"/>
        <v>2.1191500939537773E-2</v>
      </c>
    </row>
    <row r="751" spans="1:4" x14ac:dyDescent="0.3">
      <c r="A751" s="24" t="s">
        <v>156</v>
      </c>
      <c r="B751" s="13">
        <v>71174718.769999996</v>
      </c>
      <c r="C751" s="13">
        <v>49370873.589999996</v>
      </c>
      <c r="D751" s="74">
        <f t="shared" si="20"/>
        <v>5.0772981060828448E-3</v>
      </c>
    </row>
    <row r="752" spans="1:4" x14ac:dyDescent="0.3">
      <c r="A752" s="24" t="s">
        <v>125</v>
      </c>
      <c r="B752" s="13">
        <v>138288979.06</v>
      </c>
      <c r="C752" s="13">
        <v>101304532.52000001</v>
      </c>
      <c r="D752" s="74">
        <f t="shared" si="20"/>
        <v>1.0418152924998791E-2</v>
      </c>
    </row>
    <row r="753" spans="1:6" x14ac:dyDescent="0.3">
      <c r="A753" s="24" t="s">
        <v>122</v>
      </c>
      <c r="B753" s="13">
        <v>178796433.71000001</v>
      </c>
      <c r="C753" s="13">
        <v>97531433.430000007</v>
      </c>
      <c r="D753" s="74">
        <f t="shared" si="20"/>
        <v>1.0030127608233883E-2</v>
      </c>
    </row>
    <row r="754" spans="1:6" x14ac:dyDescent="0.3">
      <c r="A754" s="24" t="s">
        <v>128</v>
      </c>
      <c r="B754" s="13">
        <v>149202132.75</v>
      </c>
      <c r="C754" s="13">
        <v>99719011.069999993</v>
      </c>
      <c r="D754" s="74">
        <f t="shared" si="20"/>
        <v>1.0255097980456157E-2</v>
      </c>
    </row>
    <row r="755" spans="1:6" x14ac:dyDescent="0.3">
      <c r="A755" s="24" t="s">
        <v>130</v>
      </c>
      <c r="B755" s="13">
        <v>103197467.14</v>
      </c>
      <c r="C755" s="13">
        <v>88845631.710000008</v>
      </c>
      <c r="D755" s="74">
        <f t="shared" si="20"/>
        <v>9.1368802051395304E-3</v>
      </c>
    </row>
    <row r="756" spans="1:6" x14ac:dyDescent="0.3">
      <c r="A756" s="24" t="s">
        <v>127</v>
      </c>
      <c r="B756" s="13">
        <v>25995246.989999998</v>
      </c>
      <c r="C756" s="13">
        <v>23779542.82</v>
      </c>
      <c r="D756" s="74">
        <f t="shared" si="20"/>
        <v>2.4454869631465623E-3</v>
      </c>
    </row>
    <row r="757" spans="1:6" x14ac:dyDescent="0.3">
      <c r="A757" s="24" t="s">
        <v>270</v>
      </c>
      <c r="B757" s="13">
        <v>7176812.8100000005</v>
      </c>
      <c r="C757" s="13">
        <v>9085727.0500000007</v>
      </c>
      <c r="D757" s="74">
        <f t="shared" si="20"/>
        <v>9.3437570350576979E-4</v>
      </c>
    </row>
    <row r="758" spans="1:6" x14ac:dyDescent="0.3">
      <c r="A758" s="24" t="s">
        <v>91</v>
      </c>
      <c r="B758" s="13">
        <v>16973482.68</v>
      </c>
      <c r="C758" s="13">
        <v>14196455</v>
      </c>
      <c r="D758" s="74">
        <f t="shared" si="20"/>
        <v>1.4599627035805573E-3</v>
      </c>
    </row>
    <row r="759" spans="1:6" x14ac:dyDescent="0.3">
      <c r="A759" s="24" t="s">
        <v>157</v>
      </c>
      <c r="B759" s="13">
        <v>437423.82</v>
      </c>
      <c r="C759" s="13">
        <v>2278689.5500000003</v>
      </c>
      <c r="D759" s="74">
        <f t="shared" si="20"/>
        <v>2.3434031637044347E-4</v>
      </c>
    </row>
    <row r="760" spans="1:6" x14ac:dyDescent="0.3">
      <c r="A760" s="24" t="s">
        <v>271</v>
      </c>
      <c r="B760" s="13">
        <v>491235</v>
      </c>
      <c r="C760" s="13">
        <v>207639.47999999998</v>
      </c>
      <c r="D760" s="74">
        <f t="shared" si="20"/>
        <v>2.1353633466302752E-5</v>
      </c>
    </row>
    <row r="761" spans="1:6" ht="14.4" thickBot="1" x14ac:dyDescent="0.35">
      <c r="A761" s="25" t="s">
        <v>272</v>
      </c>
      <c r="B761" s="14">
        <v>354440</v>
      </c>
      <c r="C761" s="15">
        <v>433000</v>
      </c>
      <c r="D761" s="75">
        <f t="shared" si="20"/>
        <v>4.452969777669012E-5</v>
      </c>
    </row>
    <row r="763" spans="1:6" x14ac:dyDescent="0.3">
      <c r="A763" s="77" t="s">
        <v>421</v>
      </c>
      <c r="B763" s="77"/>
      <c r="C763" s="77"/>
      <c r="D763" s="77"/>
      <c r="E763" s="77"/>
      <c r="F763" s="77"/>
    </row>
    <row r="764" spans="1:6" x14ac:dyDescent="0.3">
      <c r="A764" s="77"/>
      <c r="B764" s="77"/>
      <c r="C764" s="77"/>
      <c r="D764" s="77"/>
      <c r="E764" s="77"/>
      <c r="F764" s="77"/>
    </row>
    <row r="765" spans="1:6" ht="14.4" thickBot="1" x14ac:dyDescent="0.35"/>
    <row r="766" spans="1:6" ht="15" customHeight="1" x14ac:dyDescent="0.3">
      <c r="A766" s="78" t="s">
        <v>296</v>
      </c>
      <c r="B766" s="80" t="s">
        <v>297</v>
      </c>
      <c r="C766" s="80"/>
      <c r="D766" s="80" t="s">
        <v>114</v>
      </c>
      <c r="E766" s="80" t="s">
        <v>298</v>
      </c>
      <c r="F766" s="82" t="s">
        <v>299</v>
      </c>
    </row>
    <row r="767" spans="1:6" ht="14.4" thickBot="1" x14ac:dyDescent="0.35">
      <c r="A767" s="79"/>
      <c r="B767" s="81"/>
      <c r="C767" s="81"/>
      <c r="D767" s="81"/>
      <c r="E767" s="81"/>
      <c r="F767" s="83"/>
    </row>
    <row r="768" spans="1:6" x14ac:dyDescent="0.3">
      <c r="A768" s="29" t="s">
        <v>295</v>
      </c>
      <c r="B768" s="38"/>
      <c r="C768" s="38"/>
      <c r="D768" s="38"/>
      <c r="E768" s="38"/>
      <c r="F768" s="67">
        <v>61277.7</v>
      </c>
    </row>
    <row r="769" spans="1:6" x14ac:dyDescent="0.3">
      <c r="A769" s="29" t="s">
        <v>300</v>
      </c>
      <c r="B769" s="38"/>
      <c r="C769" s="38"/>
      <c r="D769" s="38"/>
      <c r="E769" s="38"/>
      <c r="F769" s="67">
        <v>9422.2000000000007</v>
      </c>
    </row>
    <row r="770" spans="1:6" x14ac:dyDescent="0.3">
      <c r="A770" s="24"/>
      <c r="B770" s="38" t="s">
        <v>302</v>
      </c>
      <c r="C770" s="38"/>
      <c r="D770" s="38"/>
      <c r="E770" s="38"/>
      <c r="F770" s="76" t="s">
        <v>310</v>
      </c>
    </row>
    <row r="771" spans="1:6" x14ac:dyDescent="0.3">
      <c r="A771" s="24" t="s">
        <v>236</v>
      </c>
      <c r="B771" s="38" t="s">
        <v>303</v>
      </c>
      <c r="C771" s="38"/>
      <c r="D771" s="38"/>
      <c r="E771" s="38"/>
      <c r="F771" s="53">
        <v>1050</v>
      </c>
    </row>
    <row r="772" spans="1:6" x14ac:dyDescent="0.3">
      <c r="A772" s="24"/>
      <c r="B772" s="38" t="s">
        <v>304</v>
      </c>
      <c r="C772" s="38"/>
      <c r="D772" s="38"/>
      <c r="E772" s="38"/>
      <c r="F772" s="76" t="s">
        <v>310</v>
      </c>
    </row>
    <row r="773" spans="1:6" x14ac:dyDescent="0.3">
      <c r="A773" s="24" t="s">
        <v>239</v>
      </c>
      <c r="B773" s="38" t="s">
        <v>305</v>
      </c>
      <c r="C773" s="38"/>
      <c r="D773" s="38"/>
      <c r="E773" s="38"/>
      <c r="F773" s="53">
        <v>520</v>
      </c>
    </row>
    <row r="774" spans="1:6" x14ac:dyDescent="0.3">
      <c r="A774" s="24" t="s">
        <v>301</v>
      </c>
      <c r="B774" s="38" t="s">
        <v>306</v>
      </c>
      <c r="C774" s="38"/>
      <c r="D774" s="38"/>
      <c r="E774" s="38"/>
      <c r="F774" s="53">
        <v>1500</v>
      </c>
    </row>
    <row r="775" spans="1:6" x14ac:dyDescent="0.3">
      <c r="A775" s="24" t="s">
        <v>234</v>
      </c>
      <c r="B775" s="38" t="s">
        <v>307</v>
      </c>
      <c r="C775" s="38"/>
      <c r="D775" s="38"/>
      <c r="E775" s="38"/>
      <c r="F775" s="53">
        <v>4600</v>
      </c>
    </row>
    <row r="776" spans="1:6" x14ac:dyDescent="0.3">
      <c r="A776" s="24" t="s">
        <v>27</v>
      </c>
      <c r="B776" s="38" t="s">
        <v>308</v>
      </c>
      <c r="C776" s="38"/>
      <c r="D776" s="38"/>
      <c r="E776" s="38"/>
      <c r="F776" s="53">
        <v>432.2</v>
      </c>
    </row>
    <row r="777" spans="1:6" ht="14.4" thickBot="1" x14ac:dyDescent="0.35">
      <c r="A777" s="25" t="s">
        <v>233</v>
      </c>
      <c r="B777" s="42" t="s">
        <v>309</v>
      </c>
      <c r="C777" s="23"/>
      <c r="D777" s="23"/>
      <c r="E777" s="23"/>
      <c r="F777" s="54">
        <v>1320</v>
      </c>
    </row>
    <row r="778" spans="1:6" x14ac:dyDescent="0.3">
      <c r="A778" s="48" t="s">
        <v>311</v>
      </c>
      <c r="B778" s="38"/>
      <c r="C778" s="38"/>
      <c r="D778" s="38"/>
      <c r="E778" s="38"/>
      <c r="F778" s="67">
        <f>SUM(F779:F785)</f>
        <v>15204</v>
      </c>
    </row>
    <row r="779" spans="1:6" x14ac:dyDescent="0.3">
      <c r="A779" s="24" t="s">
        <v>253</v>
      </c>
      <c r="B779" s="38" t="s">
        <v>314</v>
      </c>
      <c r="C779" s="38"/>
      <c r="D779" s="38"/>
      <c r="E779" s="38"/>
      <c r="F779" s="53">
        <v>3300</v>
      </c>
    </row>
    <row r="780" spans="1:6" x14ac:dyDescent="0.3">
      <c r="A780" s="24" t="s">
        <v>246</v>
      </c>
      <c r="B780" s="38" t="s">
        <v>315</v>
      </c>
      <c r="C780" s="38"/>
      <c r="D780" s="38"/>
      <c r="E780" s="38"/>
      <c r="F780" s="53">
        <v>110</v>
      </c>
    </row>
    <row r="781" spans="1:6" x14ac:dyDescent="0.3">
      <c r="A781" s="24" t="s">
        <v>312</v>
      </c>
      <c r="B781" s="38" t="s">
        <v>316</v>
      </c>
      <c r="C781" s="38"/>
      <c r="D781" s="38"/>
      <c r="E781" s="38"/>
      <c r="F781" s="53">
        <v>1790</v>
      </c>
    </row>
    <row r="782" spans="1:6" x14ac:dyDescent="0.3">
      <c r="A782" s="24" t="s">
        <v>233</v>
      </c>
      <c r="B782" s="38" t="s">
        <v>309</v>
      </c>
      <c r="C782" s="38"/>
      <c r="D782" s="38"/>
      <c r="E782" s="38"/>
      <c r="F782" s="53">
        <v>3500</v>
      </c>
    </row>
    <row r="783" spans="1:6" x14ac:dyDescent="0.3">
      <c r="A783" s="24" t="s">
        <v>313</v>
      </c>
      <c r="B783" s="38" t="s">
        <v>317</v>
      </c>
      <c r="C783" s="38"/>
      <c r="D783" s="38"/>
      <c r="E783" s="38"/>
      <c r="F783" s="53">
        <v>239</v>
      </c>
    </row>
    <row r="784" spans="1:6" x14ac:dyDescent="0.3">
      <c r="A784" s="24" t="s">
        <v>256</v>
      </c>
      <c r="B784" s="38" t="s">
        <v>318</v>
      </c>
      <c r="C784" s="38"/>
      <c r="D784" s="38"/>
      <c r="E784" s="38"/>
      <c r="F784" s="53">
        <v>370</v>
      </c>
    </row>
    <row r="785" spans="1:6" x14ac:dyDescent="0.3">
      <c r="A785" s="24" t="s">
        <v>232</v>
      </c>
      <c r="B785" s="38" t="s">
        <v>319</v>
      </c>
      <c r="C785" s="38"/>
      <c r="D785" s="38"/>
      <c r="E785" s="38"/>
      <c r="F785" s="53">
        <v>5895</v>
      </c>
    </row>
    <row r="786" spans="1:6" x14ac:dyDescent="0.3">
      <c r="A786" s="24"/>
      <c r="B786" s="38"/>
      <c r="C786" s="38"/>
      <c r="D786" s="38"/>
      <c r="E786" s="38"/>
      <c r="F786" s="43"/>
    </row>
    <row r="787" spans="1:6" x14ac:dyDescent="0.3">
      <c r="A787" s="29" t="s">
        <v>320</v>
      </c>
      <c r="B787" s="38"/>
      <c r="C787" s="38"/>
      <c r="D787" s="38"/>
      <c r="E787" s="38"/>
      <c r="F787" s="67">
        <f>SUM(F788:F790)</f>
        <v>1830</v>
      </c>
    </row>
    <row r="788" spans="1:6" x14ac:dyDescent="0.3">
      <c r="A788" s="24" t="s">
        <v>243</v>
      </c>
      <c r="B788" s="38" t="s">
        <v>322</v>
      </c>
      <c r="C788" s="38"/>
      <c r="D788" s="38"/>
      <c r="E788" s="38"/>
      <c r="F788" s="53">
        <v>630</v>
      </c>
    </row>
    <row r="789" spans="1:6" x14ac:dyDescent="0.3">
      <c r="A789" s="24" t="s">
        <v>236</v>
      </c>
      <c r="B789" s="38" t="s">
        <v>323</v>
      </c>
      <c r="C789" s="38"/>
      <c r="D789" s="38"/>
      <c r="E789" s="38"/>
      <c r="F789" s="53">
        <v>1000</v>
      </c>
    </row>
    <row r="790" spans="1:6" x14ac:dyDescent="0.3">
      <c r="A790" s="24" t="s">
        <v>321</v>
      </c>
      <c r="B790" s="38" t="s">
        <v>324</v>
      </c>
      <c r="C790" s="38"/>
      <c r="D790" s="38"/>
      <c r="E790" s="38"/>
      <c r="F790" s="53">
        <v>200</v>
      </c>
    </row>
    <row r="791" spans="1:6" x14ac:dyDescent="0.3">
      <c r="A791" s="24"/>
      <c r="B791" s="38"/>
      <c r="C791" s="38"/>
      <c r="D791" s="38"/>
      <c r="E791" s="38"/>
      <c r="F791" s="43"/>
    </row>
    <row r="792" spans="1:6" x14ac:dyDescent="0.3">
      <c r="A792" s="29" t="s">
        <v>343</v>
      </c>
      <c r="B792" s="38"/>
      <c r="C792" s="38"/>
      <c r="D792" s="38"/>
      <c r="E792" s="38"/>
      <c r="F792" s="67">
        <f>SUM(F793:F818)</f>
        <v>28460.5</v>
      </c>
    </row>
    <row r="793" spans="1:6" x14ac:dyDescent="0.3">
      <c r="A793" s="24" t="s">
        <v>325</v>
      </c>
      <c r="B793" s="38" t="s">
        <v>344</v>
      </c>
      <c r="C793" s="38"/>
      <c r="D793" s="38"/>
      <c r="E793" s="38"/>
      <c r="F793" s="53">
        <v>125</v>
      </c>
    </row>
    <row r="794" spans="1:6" x14ac:dyDescent="0.3">
      <c r="A794" s="24" t="s">
        <v>326</v>
      </c>
      <c r="B794" s="38" t="s">
        <v>345</v>
      </c>
      <c r="C794" s="38"/>
      <c r="D794" s="38"/>
      <c r="E794" s="38"/>
      <c r="F794" s="53">
        <v>90</v>
      </c>
    </row>
    <row r="795" spans="1:6" x14ac:dyDescent="0.3">
      <c r="A795" s="24" t="s">
        <v>327</v>
      </c>
      <c r="B795" s="38" t="s">
        <v>346</v>
      </c>
      <c r="C795" s="38"/>
      <c r="D795" s="38"/>
      <c r="E795" s="38"/>
      <c r="F795" s="53">
        <v>700</v>
      </c>
    </row>
    <row r="796" spans="1:6" x14ac:dyDescent="0.3">
      <c r="A796" s="24" t="s">
        <v>328</v>
      </c>
      <c r="B796" s="38" t="s">
        <v>347</v>
      </c>
      <c r="C796" s="38"/>
      <c r="D796" s="38"/>
      <c r="E796" s="38"/>
      <c r="F796" s="53">
        <v>2300</v>
      </c>
    </row>
    <row r="797" spans="1:6" x14ac:dyDescent="0.3">
      <c r="A797" s="24" t="s">
        <v>257</v>
      </c>
      <c r="B797" s="38" t="s">
        <v>348</v>
      </c>
      <c r="C797" s="38"/>
      <c r="D797" s="38"/>
      <c r="E797" s="38"/>
      <c r="F797" s="53">
        <v>1200</v>
      </c>
    </row>
    <row r="798" spans="1:6" x14ac:dyDescent="0.3">
      <c r="A798" s="24" t="s">
        <v>329</v>
      </c>
      <c r="B798" s="38" t="s">
        <v>349</v>
      </c>
      <c r="C798" s="38"/>
      <c r="D798" s="38"/>
      <c r="E798" s="38"/>
      <c r="F798" s="53">
        <v>1599</v>
      </c>
    </row>
    <row r="799" spans="1:6" x14ac:dyDescent="0.3">
      <c r="A799" s="24" t="s">
        <v>321</v>
      </c>
      <c r="B799" s="38" t="s">
        <v>324</v>
      </c>
      <c r="C799" s="38"/>
      <c r="D799" s="38"/>
      <c r="E799" s="38"/>
      <c r="F799" s="53">
        <v>200</v>
      </c>
    </row>
    <row r="800" spans="1:6" x14ac:dyDescent="0.3">
      <c r="A800" s="24" t="s">
        <v>330</v>
      </c>
      <c r="B800" s="38" t="s">
        <v>350</v>
      </c>
      <c r="C800" s="38"/>
      <c r="D800" s="38"/>
      <c r="E800" s="38"/>
      <c r="F800" s="53">
        <v>3000</v>
      </c>
    </row>
    <row r="801" spans="1:6" x14ac:dyDescent="0.3">
      <c r="A801" s="24" t="s">
        <v>243</v>
      </c>
      <c r="B801" s="38" t="s">
        <v>351</v>
      </c>
      <c r="C801" s="38"/>
      <c r="D801" s="38"/>
      <c r="E801" s="38"/>
      <c r="F801" s="53">
        <v>470</v>
      </c>
    </row>
    <row r="802" spans="1:6" x14ac:dyDescent="0.3">
      <c r="A802" s="24" t="s">
        <v>243</v>
      </c>
      <c r="B802" s="38" t="s">
        <v>352</v>
      </c>
      <c r="C802" s="38"/>
      <c r="D802" s="38"/>
      <c r="E802" s="38"/>
      <c r="F802" s="53">
        <v>750</v>
      </c>
    </row>
    <row r="803" spans="1:6" x14ac:dyDescent="0.3">
      <c r="A803" s="24" t="s">
        <v>331</v>
      </c>
      <c r="B803" s="38" t="s">
        <v>353</v>
      </c>
      <c r="C803" s="38"/>
      <c r="D803" s="38"/>
      <c r="E803" s="38"/>
      <c r="F803" s="53">
        <v>490</v>
      </c>
    </row>
    <row r="804" spans="1:6" x14ac:dyDescent="0.3">
      <c r="A804" s="24" t="s">
        <v>332</v>
      </c>
      <c r="B804" s="38" t="s">
        <v>354</v>
      </c>
      <c r="C804" s="38"/>
      <c r="D804" s="38"/>
      <c r="E804" s="38"/>
      <c r="F804" s="53">
        <v>350</v>
      </c>
    </row>
    <row r="805" spans="1:6" x14ac:dyDescent="0.3">
      <c r="A805" s="24" t="s">
        <v>333</v>
      </c>
      <c r="B805" s="38" t="s">
        <v>355</v>
      </c>
      <c r="C805" s="38"/>
      <c r="D805" s="38"/>
      <c r="E805" s="38"/>
      <c r="F805" s="53">
        <v>345.5</v>
      </c>
    </row>
    <row r="806" spans="1:6" x14ac:dyDescent="0.3">
      <c r="A806" s="24" t="s">
        <v>334</v>
      </c>
      <c r="B806" s="38" t="s">
        <v>356</v>
      </c>
      <c r="C806" s="38"/>
      <c r="D806" s="38"/>
      <c r="E806" s="38"/>
      <c r="F806" s="53">
        <v>1320</v>
      </c>
    </row>
    <row r="807" spans="1:6" x14ac:dyDescent="0.3">
      <c r="A807" s="24" t="s">
        <v>335</v>
      </c>
      <c r="B807" s="38" t="s">
        <v>357</v>
      </c>
      <c r="C807" s="38"/>
      <c r="D807" s="38"/>
      <c r="E807" s="38"/>
      <c r="F807" s="53">
        <v>3280</v>
      </c>
    </row>
    <row r="808" spans="1:6" x14ac:dyDescent="0.3">
      <c r="A808" s="24" t="s">
        <v>336</v>
      </c>
      <c r="B808" s="38" t="s">
        <v>358</v>
      </c>
      <c r="C808" s="38"/>
      <c r="D808" s="38"/>
      <c r="E808" s="38"/>
      <c r="F808" s="53" t="s">
        <v>10</v>
      </c>
    </row>
    <row r="809" spans="1:6" x14ac:dyDescent="0.3">
      <c r="A809" s="24" t="s">
        <v>250</v>
      </c>
      <c r="B809" s="38" t="s">
        <v>359</v>
      </c>
      <c r="C809" s="38"/>
      <c r="D809" s="38"/>
      <c r="E809" s="38"/>
      <c r="F809" s="53">
        <v>2500</v>
      </c>
    </row>
    <row r="810" spans="1:6" x14ac:dyDescent="0.3">
      <c r="A810" s="24" t="s">
        <v>337</v>
      </c>
      <c r="B810" s="38" t="s">
        <v>360</v>
      </c>
      <c r="C810" s="38"/>
      <c r="D810" s="38"/>
      <c r="E810" s="38"/>
      <c r="F810" s="53">
        <v>850</v>
      </c>
    </row>
    <row r="811" spans="1:6" x14ac:dyDescent="0.3">
      <c r="A811" s="24" t="s">
        <v>338</v>
      </c>
      <c r="B811" s="38" t="s">
        <v>361</v>
      </c>
      <c r="C811" s="38"/>
      <c r="D811" s="38"/>
      <c r="E811" s="38"/>
      <c r="F811" s="53">
        <v>744</v>
      </c>
    </row>
    <row r="812" spans="1:6" x14ac:dyDescent="0.3">
      <c r="A812" s="24" t="s">
        <v>339</v>
      </c>
      <c r="B812" s="38" t="s">
        <v>362</v>
      </c>
      <c r="C812" s="38"/>
      <c r="D812" s="38"/>
      <c r="E812" s="38"/>
      <c r="F812" s="53">
        <v>2800</v>
      </c>
    </row>
    <row r="813" spans="1:6" x14ac:dyDescent="0.3">
      <c r="A813" s="24" t="s">
        <v>340</v>
      </c>
      <c r="B813" s="38" t="s">
        <v>363</v>
      </c>
      <c r="C813" s="38"/>
      <c r="D813" s="38"/>
      <c r="E813" s="38"/>
      <c r="F813" s="53">
        <v>1122</v>
      </c>
    </row>
    <row r="814" spans="1:6" x14ac:dyDescent="0.3">
      <c r="A814" s="24" t="s">
        <v>341</v>
      </c>
      <c r="B814" s="38" t="s">
        <v>364</v>
      </c>
      <c r="C814" s="38"/>
      <c r="D814" s="38"/>
      <c r="E814" s="38"/>
      <c r="F814" s="53" t="s">
        <v>10</v>
      </c>
    </row>
    <row r="815" spans="1:6" x14ac:dyDescent="0.3">
      <c r="A815" s="24" t="s">
        <v>43</v>
      </c>
      <c r="B815" s="38" t="s">
        <v>365</v>
      </c>
      <c r="C815" s="38"/>
      <c r="D815" s="38"/>
      <c r="E815" s="38"/>
      <c r="F815" s="53">
        <v>165</v>
      </c>
    </row>
    <row r="816" spans="1:6" x14ac:dyDescent="0.3">
      <c r="A816" s="24" t="s">
        <v>342</v>
      </c>
      <c r="B816" s="38" t="s">
        <v>366</v>
      </c>
      <c r="C816" s="38"/>
      <c r="D816" s="38"/>
      <c r="E816" s="38"/>
      <c r="F816" s="53">
        <v>1500</v>
      </c>
    </row>
    <row r="817" spans="1:8" x14ac:dyDescent="0.3">
      <c r="A817" s="24" t="s">
        <v>245</v>
      </c>
      <c r="B817" s="38" t="s">
        <v>367</v>
      </c>
      <c r="C817" s="38"/>
      <c r="D817" s="38"/>
      <c r="E817" s="38"/>
      <c r="F817" s="53">
        <v>1000</v>
      </c>
    </row>
    <row r="818" spans="1:8" ht="14.4" thickBot="1" x14ac:dyDescent="0.35">
      <c r="A818" s="25" t="s">
        <v>236</v>
      </c>
      <c r="B818" s="42" t="s">
        <v>368</v>
      </c>
      <c r="C818" s="23"/>
      <c r="D818" s="23"/>
      <c r="E818" s="23"/>
      <c r="F818" s="54">
        <v>1560</v>
      </c>
    </row>
    <row r="819" spans="1:8" x14ac:dyDescent="0.3">
      <c r="A819" s="38"/>
      <c r="B819" s="38"/>
      <c r="C819" s="38"/>
      <c r="D819" s="38"/>
      <c r="E819" s="38"/>
      <c r="F819" s="13"/>
    </row>
    <row r="820" spans="1:8" x14ac:dyDescent="0.3">
      <c r="A820" s="77" t="s">
        <v>422</v>
      </c>
      <c r="B820" s="77"/>
      <c r="C820" s="77"/>
      <c r="D820" s="77"/>
      <c r="E820" s="77"/>
      <c r="F820" s="77"/>
    </row>
    <row r="821" spans="1:8" x14ac:dyDescent="0.3">
      <c r="A821" s="77"/>
      <c r="B821" s="77"/>
      <c r="C821" s="77"/>
      <c r="D821" s="77"/>
      <c r="E821" s="77"/>
      <c r="F821" s="77"/>
    </row>
    <row r="822" spans="1:8" ht="14.4" thickBot="1" x14ac:dyDescent="0.35">
      <c r="A822" s="6"/>
      <c r="B822" s="6"/>
      <c r="C822" s="6"/>
      <c r="D822" s="6"/>
      <c r="E822" s="6"/>
      <c r="F822" s="6"/>
    </row>
    <row r="823" spans="1:8" x14ac:dyDescent="0.3">
      <c r="A823" s="78" t="s">
        <v>114</v>
      </c>
      <c r="B823" s="80">
        <v>2007</v>
      </c>
      <c r="C823" s="80">
        <v>2008</v>
      </c>
      <c r="D823" s="80">
        <v>2009</v>
      </c>
      <c r="E823" s="80">
        <v>2010</v>
      </c>
      <c r="F823" s="80">
        <v>2011</v>
      </c>
      <c r="G823" s="80">
        <v>2012</v>
      </c>
      <c r="H823" s="82">
        <v>2013</v>
      </c>
    </row>
    <row r="824" spans="1:8" ht="14.4" thickBot="1" x14ac:dyDescent="0.35">
      <c r="A824" s="79"/>
      <c r="B824" s="81"/>
      <c r="C824" s="81"/>
      <c r="D824" s="81"/>
      <c r="E824" s="81"/>
      <c r="F824" s="81"/>
      <c r="G824" s="81"/>
      <c r="H824" s="83"/>
    </row>
    <row r="825" spans="1:8" x14ac:dyDescent="0.3">
      <c r="A825" s="29" t="s">
        <v>49</v>
      </c>
      <c r="B825" s="40">
        <f>SUM(B826:B848)</f>
        <v>5732902.8134308988</v>
      </c>
      <c r="C825" s="40">
        <f t="shared" ref="C825:H825" si="21">SUM(C826:C848)</f>
        <v>5027971.2429210078</v>
      </c>
      <c r="D825" s="40">
        <f t="shared" si="21"/>
        <v>3858690.734265679</v>
      </c>
      <c r="E825" s="40">
        <f t="shared" si="21"/>
        <v>3798897.8728682459</v>
      </c>
      <c r="F825" s="40">
        <f t="shared" si="21"/>
        <v>5131690.6364860833</v>
      </c>
      <c r="G825" s="40">
        <f t="shared" si="21"/>
        <v>5785403.6475023767</v>
      </c>
      <c r="H825" s="67">
        <f t="shared" si="21"/>
        <v>4468342.7194628604</v>
      </c>
    </row>
    <row r="826" spans="1:8" x14ac:dyDescent="0.3">
      <c r="A826" s="7" t="s">
        <v>374</v>
      </c>
      <c r="B826" s="13">
        <v>1414.6225998</v>
      </c>
      <c r="C826" s="13">
        <v>2037.6396777241739</v>
      </c>
      <c r="D826" s="13">
        <v>2682.7895075251226</v>
      </c>
      <c r="E826" s="13">
        <v>2917.7497190824147</v>
      </c>
      <c r="F826" s="13">
        <v>2885.8865143818362</v>
      </c>
      <c r="G826" s="13">
        <v>2599.0693519712549</v>
      </c>
      <c r="H826" s="53">
        <v>1825.8520229200001</v>
      </c>
    </row>
    <row r="827" spans="1:8" x14ac:dyDescent="0.3">
      <c r="A827" s="7" t="s">
        <v>375</v>
      </c>
      <c r="B827" s="13">
        <v>1639695.2379955</v>
      </c>
      <c r="C827" s="13">
        <v>1332321.9054593286</v>
      </c>
      <c r="D827" s="13">
        <v>864662.32954954938</v>
      </c>
      <c r="E827" s="13">
        <v>794731.90703502786</v>
      </c>
      <c r="F827" s="13">
        <v>770582.07529868151</v>
      </c>
      <c r="G827" s="13">
        <v>1015864.4607110069</v>
      </c>
      <c r="H827" s="53">
        <v>1019235.8937081801</v>
      </c>
    </row>
    <row r="828" spans="1:8" x14ac:dyDescent="0.3">
      <c r="A828" s="24" t="s">
        <v>376</v>
      </c>
      <c r="B828" s="13">
        <v>30546.0622793</v>
      </c>
      <c r="C828" s="13">
        <v>32235.283902984</v>
      </c>
      <c r="D828" s="13">
        <v>17362.096381994703</v>
      </c>
      <c r="E828" s="13">
        <v>7456.5900871504145</v>
      </c>
      <c r="F828" s="13">
        <v>10352.473908096461</v>
      </c>
      <c r="G828" s="13">
        <v>16258.265793091137</v>
      </c>
      <c r="H828" s="53">
        <v>23194.328631980003</v>
      </c>
    </row>
    <row r="829" spans="1:8" x14ac:dyDescent="0.3">
      <c r="A829" s="24" t="s">
        <v>377</v>
      </c>
      <c r="B829" s="13">
        <v>184005.16575759999</v>
      </c>
      <c r="C829" s="13">
        <v>501658.38651776477</v>
      </c>
      <c r="D829" s="13">
        <v>581694.79177875828</v>
      </c>
      <c r="E829" s="13">
        <v>412482.4267986872</v>
      </c>
      <c r="F829" s="13">
        <v>743425.10430328164</v>
      </c>
      <c r="G829" s="13">
        <v>834558.66000025941</v>
      </c>
      <c r="H829" s="53">
        <v>495471.64673208003</v>
      </c>
    </row>
    <row r="830" spans="1:8" x14ac:dyDescent="0.3">
      <c r="A830" s="24" t="s">
        <v>378</v>
      </c>
      <c r="B830" s="13">
        <v>28932.163848300002</v>
      </c>
      <c r="C830" s="13">
        <v>51057.776673486638</v>
      </c>
      <c r="D830" s="13">
        <v>20169.722284334257</v>
      </c>
      <c r="E830" s="13">
        <v>56291.528187267628</v>
      </c>
      <c r="F830" s="13">
        <v>93335.995644704977</v>
      </c>
      <c r="G830" s="13">
        <v>103933.36526069061</v>
      </c>
      <c r="H830" s="53">
        <v>35571.15651796</v>
      </c>
    </row>
    <row r="831" spans="1:8" x14ac:dyDescent="0.3">
      <c r="A831" s="24" t="s">
        <v>379</v>
      </c>
      <c r="B831" s="13">
        <v>595177.99387389992</v>
      </c>
      <c r="C831" s="13">
        <v>197276.7232737708</v>
      </c>
      <c r="D831" s="13">
        <v>256033.96855698671</v>
      </c>
      <c r="E831" s="13">
        <v>483863.87618651072</v>
      </c>
      <c r="F831" s="13">
        <v>522692.11535276071</v>
      </c>
      <c r="G831" s="13">
        <v>609316.36066507769</v>
      </c>
      <c r="H831" s="53">
        <v>629747.2546744399</v>
      </c>
    </row>
    <row r="832" spans="1:8" x14ac:dyDescent="0.3">
      <c r="A832" s="24" t="s">
        <v>380</v>
      </c>
      <c r="B832" s="13">
        <v>10.757711800000001</v>
      </c>
      <c r="C832" s="13">
        <v>13.186780776316482</v>
      </c>
      <c r="D832" s="13">
        <v>11.277203526444284</v>
      </c>
      <c r="E832" s="13">
        <v>22.442175658171251</v>
      </c>
      <c r="F832" s="13">
        <v>5.1429157128230454</v>
      </c>
      <c r="G832" s="13">
        <v>8.6910249344109847</v>
      </c>
      <c r="H832" s="53">
        <v>17.994093239999998</v>
      </c>
    </row>
    <row r="833" spans="1:8" x14ac:dyDescent="0.3">
      <c r="A833" s="24" t="s">
        <v>381</v>
      </c>
      <c r="B833" s="13">
        <v>279368.42594409996</v>
      </c>
      <c r="C833" s="13">
        <v>250741.99831695115</v>
      </c>
      <c r="D833" s="13">
        <v>143603.00338388639</v>
      </c>
      <c r="E833" s="13">
        <v>130630.80976498613</v>
      </c>
      <c r="F833" s="13">
        <v>219739.29443000155</v>
      </c>
      <c r="G833" s="13">
        <v>396420.69680841983</v>
      </c>
      <c r="H833" s="53">
        <v>68682.450300199998</v>
      </c>
    </row>
    <row r="834" spans="1:8" x14ac:dyDescent="0.3">
      <c r="A834" s="24" t="s">
        <v>382</v>
      </c>
      <c r="B834" s="13">
        <v>51113.647882200006</v>
      </c>
      <c r="C834" s="13">
        <v>67356.765200979688</v>
      </c>
      <c r="D834" s="13">
        <v>29419.025851064824</v>
      </c>
      <c r="E834" s="13">
        <v>22869.908837901028</v>
      </c>
      <c r="F834" s="13">
        <v>37913.552780751626</v>
      </c>
      <c r="G834" s="13">
        <v>33372.077099185342</v>
      </c>
      <c r="H834" s="53">
        <v>24907.916536780001</v>
      </c>
    </row>
    <row r="835" spans="1:8" x14ac:dyDescent="0.3">
      <c r="A835" s="24" t="s">
        <v>383</v>
      </c>
      <c r="B835" s="13">
        <v>15389.907549400001</v>
      </c>
      <c r="C835" s="13">
        <v>12124.101277941578</v>
      </c>
      <c r="D835" s="13">
        <v>4938.4857320551428</v>
      </c>
      <c r="E835" s="13">
        <v>4586.4474102538561</v>
      </c>
      <c r="F835" s="13">
        <v>8485.7299313526182</v>
      </c>
      <c r="G835" s="13">
        <v>7778.782403154707</v>
      </c>
      <c r="H835" s="53">
        <v>5030.770749199999</v>
      </c>
    </row>
    <row r="836" spans="1:8" x14ac:dyDescent="0.3">
      <c r="A836" s="24" t="s">
        <v>384</v>
      </c>
      <c r="B836" s="13">
        <v>76905.707542599994</v>
      </c>
      <c r="C836" s="13">
        <v>83369.188034479725</v>
      </c>
      <c r="D836" s="13">
        <v>121588.5750359932</v>
      </c>
      <c r="E836" s="13">
        <v>83859.562307208544</v>
      </c>
      <c r="F836" s="13">
        <v>235060.43744280096</v>
      </c>
      <c r="G836" s="13">
        <v>401195.53772356757</v>
      </c>
      <c r="H836" s="53">
        <v>230490.24966514061</v>
      </c>
    </row>
    <row r="837" spans="1:8" x14ac:dyDescent="0.3">
      <c r="A837" s="24" t="s">
        <v>385</v>
      </c>
      <c r="B837" s="13">
        <v>155947.5793063</v>
      </c>
      <c r="C837" s="13">
        <v>155734.53965298779</v>
      </c>
      <c r="D837" s="13">
        <v>63676.951813635751</v>
      </c>
      <c r="E837" s="13">
        <v>104704.00150625034</v>
      </c>
      <c r="F837" s="13">
        <v>136496.76066062247</v>
      </c>
      <c r="G837" s="13">
        <v>129925.94867495766</v>
      </c>
      <c r="H837" s="53">
        <v>93695.808049779997</v>
      </c>
    </row>
    <row r="838" spans="1:8" x14ac:dyDescent="0.3">
      <c r="A838" s="24" t="s">
        <v>386</v>
      </c>
      <c r="B838" s="13">
        <v>308331.50680979999</v>
      </c>
      <c r="C838" s="13">
        <v>298011.45898555272</v>
      </c>
      <c r="D838" s="13">
        <v>408525.37208038213</v>
      </c>
      <c r="E838" s="13">
        <v>475092.52004335215</v>
      </c>
      <c r="F838" s="13">
        <v>533515.48493588355</v>
      </c>
      <c r="G838" s="13">
        <v>607324.121998452</v>
      </c>
      <c r="H838" s="53">
        <v>601975.75816471991</v>
      </c>
    </row>
    <row r="839" spans="1:8" x14ac:dyDescent="0.3">
      <c r="A839" s="24" t="s">
        <v>387</v>
      </c>
      <c r="B839" s="13">
        <v>599.08325780000007</v>
      </c>
      <c r="C839" s="13">
        <v>1059.6657928002398</v>
      </c>
      <c r="D839" s="13">
        <v>1697.8026951710865</v>
      </c>
      <c r="E839" s="13">
        <v>1663.1732381679008</v>
      </c>
      <c r="F839" s="13">
        <v>2417.2391947222109</v>
      </c>
      <c r="G839" s="13">
        <v>2208.5834198764423</v>
      </c>
      <c r="H839" s="53">
        <v>1739.9082035400002</v>
      </c>
    </row>
    <row r="840" spans="1:8" x14ac:dyDescent="0.3">
      <c r="A840" s="24" t="s">
        <v>388</v>
      </c>
      <c r="B840" s="13">
        <v>251909.59625</v>
      </c>
      <c r="C840" s="13">
        <v>233783.43172630557</v>
      </c>
      <c r="D840" s="13">
        <v>95008.445068673871</v>
      </c>
      <c r="E840" s="13">
        <v>117783.1269414579</v>
      </c>
      <c r="F840" s="13">
        <v>186330.85910603899</v>
      </c>
      <c r="G840" s="13">
        <v>199901.47913317117</v>
      </c>
      <c r="H840" s="53">
        <v>145750.02601084</v>
      </c>
    </row>
    <row r="841" spans="1:8" x14ac:dyDescent="0.3">
      <c r="A841" s="24" t="s">
        <v>389</v>
      </c>
      <c r="B841" s="13">
        <v>214.35089860000002</v>
      </c>
      <c r="C841" s="13">
        <v>418.15115014961759</v>
      </c>
      <c r="D841" s="13">
        <v>477.06215524675179</v>
      </c>
      <c r="E841" s="13">
        <v>114.58023345233867</v>
      </c>
      <c r="F841" s="13">
        <v>488.9813828083972</v>
      </c>
      <c r="G841" s="13">
        <v>589.8877589190356</v>
      </c>
      <c r="H841" s="53">
        <v>414.05674178000004</v>
      </c>
    </row>
    <row r="842" spans="1:8" x14ac:dyDescent="0.3">
      <c r="A842" s="24" t="s">
        <v>390</v>
      </c>
      <c r="B842" s="13">
        <v>1453.9397741999999</v>
      </c>
      <c r="C842" s="13">
        <v>1551.3571201049826</v>
      </c>
      <c r="D842" s="13">
        <v>1859.3954470035346</v>
      </c>
      <c r="E842" s="13">
        <v>1986.4451567431936</v>
      </c>
      <c r="F842" s="13">
        <v>2207.435818903145</v>
      </c>
      <c r="G842" s="13">
        <v>3050.2911766951734</v>
      </c>
      <c r="H842" s="53">
        <v>5120.1619310599999</v>
      </c>
    </row>
    <row r="843" spans="1:8" x14ac:dyDescent="0.3">
      <c r="A843" s="24" t="s">
        <v>391</v>
      </c>
      <c r="B843" s="13">
        <v>586127.65828019998</v>
      </c>
      <c r="C843" s="13">
        <v>319895.05751610309</v>
      </c>
      <c r="D843" s="13">
        <v>446120.18296466663</v>
      </c>
      <c r="E843" s="13">
        <v>345257.0847444156</v>
      </c>
      <c r="F843" s="13">
        <v>500118.58071051224</v>
      </c>
      <c r="G843" s="13">
        <v>421321.61806921975</v>
      </c>
      <c r="H843" s="53">
        <v>362196.81237268</v>
      </c>
    </row>
    <row r="844" spans="1:8" x14ac:dyDescent="0.3">
      <c r="A844" s="24" t="s">
        <v>392</v>
      </c>
      <c r="B844" s="13">
        <v>451362.72824669996</v>
      </c>
      <c r="C844" s="13">
        <v>438974.37701479346</v>
      </c>
      <c r="D844" s="13">
        <v>147895.21747337314</v>
      </c>
      <c r="E844" s="13">
        <v>206278.60287626641</v>
      </c>
      <c r="F844" s="13">
        <v>261270.04613078004</v>
      </c>
      <c r="G844" s="13">
        <v>227450.18527691139</v>
      </c>
      <c r="H844" s="53">
        <v>128872.7271341</v>
      </c>
    </row>
    <row r="845" spans="1:8" x14ac:dyDescent="0.3">
      <c r="A845" s="24" t="s">
        <v>393</v>
      </c>
      <c r="B845" s="13">
        <v>3687.6585786000001</v>
      </c>
      <c r="C845" s="13">
        <v>5412.5733953502768</v>
      </c>
      <c r="D845" s="13">
        <v>5377.9223562381803</v>
      </c>
      <c r="E845" s="13">
        <v>5306.423132479511</v>
      </c>
      <c r="F845" s="13">
        <v>5455.6252764978999</v>
      </c>
      <c r="G845" s="13">
        <v>6632.2279950636603</v>
      </c>
      <c r="H845" s="53">
        <v>12665.687461540003</v>
      </c>
    </row>
    <row r="846" spans="1:8" x14ac:dyDescent="0.3">
      <c r="A846" s="24" t="s">
        <v>394</v>
      </c>
      <c r="B846" s="13">
        <v>187761.0055769</v>
      </c>
      <c r="C846" s="13">
        <v>241942.66753183195</v>
      </c>
      <c r="D846" s="13">
        <v>293447.47311829659</v>
      </c>
      <c r="E846" s="13">
        <v>260812.9114911198</v>
      </c>
      <c r="F846" s="13">
        <v>397361.01450526156</v>
      </c>
      <c r="G846" s="13">
        <v>377115.46972351626</v>
      </c>
      <c r="H846" s="53">
        <v>275624.66342460003</v>
      </c>
    </row>
    <row r="847" spans="1:8" x14ac:dyDescent="0.3">
      <c r="A847" s="24" t="s">
        <v>395</v>
      </c>
      <c r="B847" s="13">
        <v>1132.8448647</v>
      </c>
      <c r="C847" s="13">
        <v>1527.0238140482652</v>
      </c>
      <c r="D847" s="13">
        <v>1192.0033957302771</v>
      </c>
      <c r="E847" s="13">
        <v>1383.8432131051036</v>
      </c>
      <c r="F847" s="13">
        <v>1561.706441098424</v>
      </c>
      <c r="G847" s="13">
        <v>2013.5438280217584</v>
      </c>
      <c r="H847" s="53">
        <v>1576.3679918800001</v>
      </c>
    </row>
    <row r="848" spans="1:8" x14ac:dyDescent="0.3">
      <c r="A848" s="24" t="s">
        <v>396</v>
      </c>
      <c r="B848" s="13">
        <v>881815.1686026</v>
      </c>
      <c r="C848" s="13">
        <v>799467.98410479235</v>
      </c>
      <c r="D848" s="13">
        <v>351246.84043158678</v>
      </c>
      <c r="E848" s="13">
        <v>278801.91178170143</v>
      </c>
      <c r="F848" s="13">
        <v>459989.09380042838</v>
      </c>
      <c r="G848" s="13">
        <v>386564.32360621233</v>
      </c>
      <c r="H848" s="53">
        <v>304535.22834421997</v>
      </c>
    </row>
    <row r="849" spans="1:11" x14ac:dyDescent="0.3">
      <c r="A849" s="24" t="s">
        <v>397</v>
      </c>
      <c r="B849" s="13">
        <v>10.809351299999998</v>
      </c>
      <c r="C849" s="13">
        <v>11.310414307878293</v>
      </c>
      <c r="D849" s="13">
        <v>12.014912377266814</v>
      </c>
      <c r="E849" s="13">
        <v>19.463666679419461</v>
      </c>
      <c r="F849" s="13">
        <v>19.45587744269617</v>
      </c>
      <c r="G849" s="13">
        <v>43.553030509609975</v>
      </c>
      <c r="H849" s="53">
        <v>55.096257400000006</v>
      </c>
    </row>
    <row r="850" spans="1:11" ht="14.4" thickBot="1" x14ac:dyDescent="0.35">
      <c r="A850" s="25" t="s">
        <v>398</v>
      </c>
      <c r="B850" s="14">
        <v>92.841374999999999</v>
      </c>
      <c r="C850" s="15">
        <v>28.699609274904571</v>
      </c>
      <c r="D850" s="15">
        <v>25.915892184152653</v>
      </c>
      <c r="E850" s="15">
        <v>46.90492349222118</v>
      </c>
      <c r="F850" s="15">
        <v>35.251343504267922</v>
      </c>
      <c r="G850" s="15">
        <v>74.04856293907828</v>
      </c>
      <c r="H850" s="54">
        <v>37.29484978</v>
      </c>
    </row>
    <row r="851" spans="1:11" x14ac:dyDescent="0.3">
      <c r="A851" s="38"/>
      <c r="B851" s="38"/>
      <c r="C851" s="38"/>
      <c r="D851" s="38"/>
      <c r="E851" s="38"/>
      <c r="F851" s="13"/>
    </row>
    <row r="852" spans="1:11" x14ac:dyDescent="0.3">
      <c r="A852" s="38"/>
      <c r="B852" s="38"/>
      <c r="C852" s="38"/>
      <c r="D852" s="38"/>
      <c r="E852" s="38"/>
      <c r="F852" s="13"/>
    </row>
    <row r="853" spans="1:11" x14ac:dyDescent="0.3">
      <c r="A853" s="38"/>
      <c r="B853" s="38"/>
      <c r="C853" s="38"/>
      <c r="D853" s="38"/>
      <c r="E853" s="38"/>
      <c r="F853" s="13"/>
    </row>
    <row r="854" spans="1:11" x14ac:dyDescent="0.3">
      <c r="A854" s="38"/>
      <c r="B854" s="38"/>
      <c r="C854" s="38"/>
      <c r="D854" s="38"/>
      <c r="E854" s="38"/>
      <c r="F854" s="13"/>
    </row>
    <row r="856" spans="1:11" x14ac:dyDescent="0.3">
      <c r="A856" s="77" t="s">
        <v>423</v>
      </c>
      <c r="B856" s="77"/>
      <c r="C856" s="77"/>
      <c r="D856" s="77"/>
      <c r="E856" s="77"/>
      <c r="F856" s="77"/>
    </row>
    <row r="857" spans="1:11" x14ac:dyDescent="0.3">
      <c r="A857" s="77"/>
      <c r="B857" s="77"/>
      <c r="C857" s="77"/>
      <c r="D857" s="77"/>
      <c r="E857" s="77"/>
      <c r="F857" s="77"/>
    </row>
    <row r="858" spans="1:11" ht="14.4" thickBot="1" x14ac:dyDescent="0.35"/>
    <row r="859" spans="1:11" x14ac:dyDescent="0.3">
      <c r="A859" s="78" t="s">
        <v>114</v>
      </c>
      <c r="B859" s="80">
        <v>2007</v>
      </c>
      <c r="C859" s="80">
        <v>2008</v>
      </c>
      <c r="D859" s="80">
        <v>2009</v>
      </c>
      <c r="E859" s="80">
        <v>2010</v>
      </c>
      <c r="F859" s="80">
        <v>2011</v>
      </c>
      <c r="G859" s="80">
        <v>2012</v>
      </c>
      <c r="H859" s="82">
        <v>2013</v>
      </c>
    </row>
    <row r="860" spans="1:11" ht="14.4" thickBot="1" x14ac:dyDescent="0.35">
      <c r="A860" s="79"/>
      <c r="B860" s="81"/>
      <c r="C860" s="81"/>
      <c r="D860" s="81"/>
      <c r="E860" s="81"/>
      <c r="F860" s="81"/>
      <c r="G860" s="81"/>
      <c r="H860" s="83"/>
    </row>
    <row r="861" spans="1:11" x14ac:dyDescent="0.3">
      <c r="A861" s="29" t="s">
        <v>49</v>
      </c>
      <c r="B861" s="40">
        <f>SUM(B862:B884)</f>
        <v>5157001.4291700013</v>
      </c>
      <c r="C861" s="40">
        <f t="shared" ref="C861:H861" si="22">SUM(C862:C884)</f>
        <v>4435674.5542600006</v>
      </c>
      <c r="D861" s="40">
        <f t="shared" si="22"/>
        <v>3434452.2146399999</v>
      </c>
      <c r="E861" s="40">
        <f t="shared" si="22"/>
        <v>3089624.0880300007</v>
      </c>
      <c r="F861" s="40">
        <f t="shared" si="22"/>
        <v>4157369.6250100005</v>
      </c>
      <c r="G861" s="40">
        <f t="shared" si="22"/>
        <v>5124235.0600199997</v>
      </c>
      <c r="H861" s="67">
        <f t="shared" si="22"/>
        <v>3817165.2831400009</v>
      </c>
    </row>
    <row r="862" spans="1:11" x14ac:dyDescent="0.3">
      <c r="A862" s="24" t="s">
        <v>374</v>
      </c>
      <c r="B862" s="38">
        <v>7.6831300000000002</v>
      </c>
      <c r="C862" s="13">
        <v>17.933040000000002</v>
      </c>
      <c r="D862" s="13">
        <v>74.217869999999991</v>
      </c>
      <c r="E862" s="13">
        <v>111.19959</v>
      </c>
      <c r="F862" s="13">
        <v>126.05105</v>
      </c>
      <c r="G862" s="49">
        <v>9.2620000000000008E-2</v>
      </c>
      <c r="H862" s="43">
        <v>1.248E-2</v>
      </c>
    </row>
    <row r="863" spans="1:11" x14ac:dyDescent="0.3">
      <c r="A863" s="24" t="s">
        <v>375</v>
      </c>
      <c r="B863" s="38">
        <v>1628350.3564800001</v>
      </c>
      <c r="C863" s="13">
        <v>1319496.3055100001</v>
      </c>
      <c r="D863" s="13">
        <v>855475.61514999997</v>
      </c>
      <c r="E863" s="13">
        <v>782241.86636999983</v>
      </c>
      <c r="F863" s="13">
        <v>756045.88397000008</v>
      </c>
      <c r="G863" s="13">
        <v>1003300.3171100001</v>
      </c>
      <c r="H863" s="43">
        <v>1003366.24696</v>
      </c>
      <c r="K863" s="13"/>
    </row>
    <row r="864" spans="1:11" x14ac:dyDescent="0.3">
      <c r="A864" s="24" t="s">
        <v>376</v>
      </c>
      <c r="B864" s="38">
        <v>23069.613570000001</v>
      </c>
      <c r="C864" s="13">
        <v>22544.897590000004</v>
      </c>
      <c r="D864" s="13">
        <v>12005.878120000001</v>
      </c>
      <c r="E864" s="13">
        <v>744.74465999999995</v>
      </c>
      <c r="F864" s="13">
        <v>2003.1816699999999</v>
      </c>
      <c r="G864" s="13">
        <v>7035.9969499999997</v>
      </c>
      <c r="H864" s="43">
        <v>11641.85082</v>
      </c>
      <c r="K864" s="13"/>
    </row>
    <row r="865" spans="1:11" x14ac:dyDescent="0.3">
      <c r="A865" s="24" t="s">
        <v>377</v>
      </c>
      <c r="B865" s="38">
        <v>157529.68476</v>
      </c>
      <c r="C865" s="13">
        <v>457527.41330999997</v>
      </c>
      <c r="D865" s="13">
        <v>530845.86508000002</v>
      </c>
      <c r="E865" s="13">
        <v>347511.92696000001</v>
      </c>
      <c r="F865" s="13">
        <v>662649.33691999991</v>
      </c>
      <c r="G865" s="13">
        <v>781587.277</v>
      </c>
      <c r="H865" s="43">
        <v>445771.50677000004</v>
      </c>
      <c r="K865" s="13"/>
    </row>
    <row r="866" spans="1:11" x14ac:dyDescent="0.3">
      <c r="A866" s="24" t="s">
        <v>378</v>
      </c>
      <c r="B866" s="38">
        <v>20963.25459</v>
      </c>
      <c r="C866" s="13">
        <v>41206.251899999996</v>
      </c>
      <c r="D866" s="13">
        <v>9502.86996</v>
      </c>
      <c r="E866" s="13">
        <v>34324.031139999999</v>
      </c>
      <c r="F866" s="13">
        <v>57453.332809999993</v>
      </c>
      <c r="G866" s="13">
        <v>83545.774930000014</v>
      </c>
      <c r="H866" s="43">
        <v>16803.539789999999</v>
      </c>
      <c r="K866" s="13"/>
    </row>
    <row r="867" spans="1:11" x14ac:dyDescent="0.3">
      <c r="A867" s="24" t="s">
        <v>379</v>
      </c>
      <c r="B867" s="38">
        <v>585612.96</v>
      </c>
      <c r="C867" s="13">
        <v>183348.63280000002</v>
      </c>
      <c r="D867" s="13">
        <v>228105.05557999999</v>
      </c>
      <c r="E867" s="13">
        <v>411689.57715999999</v>
      </c>
      <c r="F867" s="13">
        <v>417671.62028999993</v>
      </c>
      <c r="G867" s="13">
        <v>538824.01647999999</v>
      </c>
      <c r="H867" s="43">
        <v>528459.1189</v>
      </c>
      <c r="K867" s="13"/>
    </row>
    <row r="868" spans="1:11" x14ac:dyDescent="0.3">
      <c r="A868" s="24" t="s">
        <v>380</v>
      </c>
      <c r="B868" s="38">
        <v>0.16819999999999999</v>
      </c>
      <c r="C868" s="13">
        <v>1.88672</v>
      </c>
      <c r="D868" s="49">
        <v>3.124E-2</v>
      </c>
      <c r="E868" s="49">
        <v>1.391E-2</v>
      </c>
      <c r="F868" s="49">
        <v>5.4879999999999998E-2</v>
      </c>
      <c r="G868" s="13">
        <v>1.1119600000000001</v>
      </c>
      <c r="H868" s="43">
        <v>0.47755000000000003</v>
      </c>
      <c r="K868" s="13"/>
    </row>
    <row r="869" spans="1:11" x14ac:dyDescent="0.3">
      <c r="A869" s="24" t="s">
        <v>381</v>
      </c>
      <c r="B869" s="38">
        <v>272885.02551000001</v>
      </c>
      <c r="C869" s="13">
        <v>242406.46046</v>
      </c>
      <c r="D869" s="13">
        <v>135273.90724</v>
      </c>
      <c r="E869" s="13">
        <v>103638.87995</v>
      </c>
      <c r="F869" s="13">
        <v>170082.89913000001</v>
      </c>
      <c r="G869" s="13">
        <v>357199.50273000001</v>
      </c>
      <c r="H869" s="43">
        <v>34983.511259999999</v>
      </c>
      <c r="K869" s="13"/>
    </row>
    <row r="870" spans="1:11" x14ac:dyDescent="0.3">
      <c r="A870" s="24" t="s">
        <v>382</v>
      </c>
      <c r="B870" s="38">
        <v>37918.782570000003</v>
      </c>
      <c r="C870" s="13">
        <v>48079.583930000001</v>
      </c>
      <c r="D870" s="13">
        <v>16853.688529999999</v>
      </c>
      <c r="E870" s="13">
        <v>5812.3102399999998</v>
      </c>
      <c r="F870" s="13">
        <v>8536.2060899999997</v>
      </c>
      <c r="G870" s="13">
        <v>18430.940420000003</v>
      </c>
      <c r="H870" s="43">
        <v>9866.1488900000004</v>
      </c>
      <c r="K870" s="13"/>
    </row>
    <row r="871" spans="1:11" x14ac:dyDescent="0.3">
      <c r="A871" s="24" t="s">
        <v>383</v>
      </c>
      <c r="B871" s="38">
        <v>10470.33527</v>
      </c>
      <c r="C871" s="13">
        <v>7728.5769900000005</v>
      </c>
      <c r="D871" s="13">
        <v>2682.8711500000004</v>
      </c>
      <c r="E871" s="13">
        <v>1649.75388</v>
      </c>
      <c r="F871" s="13">
        <v>4322.95687</v>
      </c>
      <c r="G871" s="13">
        <v>4139.2100300000002</v>
      </c>
      <c r="H871" s="43">
        <v>1098.25494</v>
      </c>
      <c r="K871" s="13"/>
    </row>
    <row r="872" spans="1:11" x14ac:dyDescent="0.3">
      <c r="A872" s="24" t="s">
        <v>384</v>
      </c>
      <c r="B872" s="38">
        <v>66374.063979999992</v>
      </c>
      <c r="C872" s="13">
        <v>68652.141739999992</v>
      </c>
      <c r="D872" s="13">
        <v>110479.55808</v>
      </c>
      <c r="E872" s="13">
        <v>67342.320370000001</v>
      </c>
      <c r="F872" s="13">
        <v>201987.82662000001</v>
      </c>
      <c r="G872" s="13">
        <v>347064.08600000001</v>
      </c>
      <c r="H872" s="43">
        <v>185986.10946000001</v>
      </c>
      <c r="K872" s="13"/>
    </row>
    <row r="873" spans="1:11" x14ac:dyDescent="0.3">
      <c r="A873" s="24" t="s">
        <v>385</v>
      </c>
      <c r="B873" s="38">
        <v>110707.73475999999</v>
      </c>
      <c r="C873" s="13">
        <v>123229.87547</v>
      </c>
      <c r="D873" s="13">
        <v>38907.551469999999</v>
      </c>
      <c r="E873" s="13">
        <v>63002.507140000002</v>
      </c>
      <c r="F873" s="13">
        <v>78663.596210000003</v>
      </c>
      <c r="G873" s="13">
        <v>108067.12484</v>
      </c>
      <c r="H873" s="43">
        <v>63627.363269999994</v>
      </c>
      <c r="K873" s="13"/>
    </row>
    <row r="874" spans="1:11" x14ac:dyDescent="0.3">
      <c r="A874" s="24" t="s">
        <v>386</v>
      </c>
      <c r="B874" s="38">
        <v>283398.34640999994</v>
      </c>
      <c r="C874" s="13">
        <v>264799.24704000005</v>
      </c>
      <c r="D874" s="13">
        <v>372054.75760000001</v>
      </c>
      <c r="E874" s="13">
        <v>422325.53578999994</v>
      </c>
      <c r="F874" s="13">
        <v>459340.50774000003</v>
      </c>
      <c r="G874" s="13">
        <v>547675.20603999996</v>
      </c>
      <c r="H874" s="43">
        <v>545255.30914000003</v>
      </c>
      <c r="K874" s="13"/>
    </row>
    <row r="875" spans="1:11" x14ac:dyDescent="0.3">
      <c r="A875" s="24" t="s">
        <v>387</v>
      </c>
      <c r="B875" s="38">
        <v>3.1729000000000003</v>
      </c>
      <c r="C875" s="13">
        <v>0</v>
      </c>
      <c r="D875" s="13">
        <v>274.09575000000001</v>
      </c>
      <c r="E875" s="13">
        <v>115.75774</v>
      </c>
      <c r="F875" s="13">
        <v>501.82860999999997</v>
      </c>
      <c r="G875" s="13">
        <v>444.45051000000001</v>
      </c>
      <c r="H875" s="43">
        <v>95.38306</v>
      </c>
      <c r="K875" s="13"/>
    </row>
    <row r="876" spans="1:11" x14ac:dyDescent="0.3">
      <c r="A876" s="24" t="s">
        <v>388</v>
      </c>
      <c r="B876" s="38">
        <v>199229.30671</v>
      </c>
      <c r="C876" s="13">
        <v>183366.49843000001</v>
      </c>
      <c r="D876" s="13">
        <v>68279.154750000002</v>
      </c>
      <c r="E876" s="13">
        <v>72488.136249999996</v>
      </c>
      <c r="F876" s="13">
        <v>105630.07491999998</v>
      </c>
      <c r="G876" s="13">
        <v>161777.75331</v>
      </c>
      <c r="H876" s="43">
        <v>103733.67827999999</v>
      </c>
      <c r="K876" s="13"/>
    </row>
    <row r="877" spans="1:11" x14ac:dyDescent="0.3">
      <c r="A877" s="24" t="s">
        <v>389</v>
      </c>
      <c r="B877" s="59" t="s">
        <v>10</v>
      </c>
      <c r="C877" s="59" t="s">
        <v>10</v>
      </c>
      <c r="D877" s="59" t="s">
        <v>10</v>
      </c>
      <c r="E877" s="59" t="s">
        <v>10</v>
      </c>
      <c r="F877" s="59" t="s">
        <v>10</v>
      </c>
      <c r="G877" s="59" t="s">
        <v>10</v>
      </c>
      <c r="H877" s="76" t="s">
        <v>10</v>
      </c>
      <c r="K877" s="13"/>
    </row>
    <row r="878" spans="1:11" x14ac:dyDescent="0.3">
      <c r="A878" s="24" t="s">
        <v>390</v>
      </c>
      <c r="B878" s="38">
        <v>42.911720000000003</v>
      </c>
      <c r="C878" s="13">
        <v>47.797499999999999</v>
      </c>
      <c r="D878" s="13">
        <v>43.89676</v>
      </c>
      <c r="E878" s="13">
        <v>56.577500000000001</v>
      </c>
      <c r="F878" s="13">
        <v>120.12137</v>
      </c>
      <c r="G878" s="13">
        <v>710.52233000000001</v>
      </c>
      <c r="H878" s="43">
        <v>1670.9904700000002</v>
      </c>
      <c r="K878" s="13"/>
    </row>
    <row r="879" spans="1:11" x14ac:dyDescent="0.3">
      <c r="A879" s="24" t="s">
        <v>391</v>
      </c>
      <c r="B879" s="38">
        <v>487216.29761000001</v>
      </c>
      <c r="C879" s="13">
        <v>211435.19341000001</v>
      </c>
      <c r="D879" s="13">
        <v>385563.97585000005</v>
      </c>
      <c r="E879" s="13">
        <v>245490.01128000001</v>
      </c>
      <c r="F879" s="13">
        <v>392507.45474999998</v>
      </c>
      <c r="G879" s="13">
        <v>325421.34168999997</v>
      </c>
      <c r="H879" s="43">
        <v>297492.03681999998</v>
      </c>
      <c r="K879" s="13"/>
    </row>
    <row r="880" spans="1:11" x14ac:dyDescent="0.3">
      <c r="A880" s="24" t="s">
        <v>392</v>
      </c>
      <c r="B880" s="38">
        <v>355486.27866999997</v>
      </c>
      <c r="C880" s="13">
        <v>377199.40809999994</v>
      </c>
      <c r="D880" s="13">
        <v>112581.50364999998</v>
      </c>
      <c r="E880" s="13">
        <v>149832.53930999999</v>
      </c>
      <c r="F880" s="13">
        <v>181704.85961000001</v>
      </c>
      <c r="G880" s="13">
        <v>197004.84794000001</v>
      </c>
      <c r="H880" s="43">
        <v>90142.507200000007</v>
      </c>
      <c r="K880" s="13"/>
    </row>
    <row r="881" spans="1:11" x14ac:dyDescent="0.3">
      <c r="A881" s="24" t="s">
        <v>393</v>
      </c>
      <c r="B881" s="38">
        <v>6.8766000000000007</v>
      </c>
      <c r="C881" s="13">
        <v>9.6072900000000008</v>
      </c>
      <c r="D881" s="13">
        <v>33.783709999999999</v>
      </c>
      <c r="E881" s="13">
        <v>19.85116</v>
      </c>
      <c r="F881" s="13">
        <v>128.02782999999999</v>
      </c>
      <c r="G881" s="13">
        <v>182.00567999999998</v>
      </c>
      <c r="H881" s="43">
        <v>6206.0287900000012</v>
      </c>
      <c r="K881" s="13"/>
    </row>
    <row r="882" spans="1:11" x14ac:dyDescent="0.3">
      <c r="A882" s="24" t="s">
        <v>394</v>
      </c>
      <c r="B882" s="38">
        <v>144315.02828</v>
      </c>
      <c r="C882" s="13">
        <v>172502.22227999999</v>
      </c>
      <c r="D882" s="13">
        <v>247656.0423</v>
      </c>
      <c r="E882" s="13">
        <v>181583.87135</v>
      </c>
      <c r="F882" s="13">
        <v>307169.98573000001</v>
      </c>
      <c r="G882" s="13">
        <v>304315.33848999999</v>
      </c>
      <c r="H882" s="43">
        <v>218491.74927999999</v>
      </c>
      <c r="K882" s="13"/>
    </row>
    <row r="883" spans="1:11" x14ac:dyDescent="0.3">
      <c r="A883" s="24" t="s">
        <v>395</v>
      </c>
      <c r="B883" s="38">
        <v>164.00707</v>
      </c>
      <c r="C883" s="13">
        <v>478.21154999999999</v>
      </c>
      <c r="D883" s="13">
        <v>511.91233999999997</v>
      </c>
      <c r="E883" s="13">
        <v>436.06337000000002</v>
      </c>
      <c r="F883" s="13">
        <v>622.21017000000006</v>
      </c>
      <c r="G883" s="13">
        <v>960.72389999999996</v>
      </c>
      <c r="H883" s="43">
        <v>554.77919999999995</v>
      </c>
      <c r="K883" s="13"/>
    </row>
    <row r="884" spans="1:11" x14ac:dyDescent="0.3">
      <c r="A884" s="24" t="s">
        <v>396</v>
      </c>
      <c r="B884" s="38">
        <v>773249.54038000002</v>
      </c>
      <c r="C884" s="13">
        <v>711596.40919999999</v>
      </c>
      <c r="D884" s="13">
        <v>307245.98246000003</v>
      </c>
      <c r="E884" s="13">
        <v>199206.61291</v>
      </c>
      <c r="F884" s="13">
        <v>350101.60777</v>
      </c>
      <c r="G884" s="13">
        <v>336547.41905999999</v>
      </c>
      <c r="H884" s="43">
        <v>251918.67981</v>
      </c>
      <c r="K884" s="13"/>
    </row>
    <row r="885" spans="1:11" x14ac:dyDescent="0.3">
      <c r="A885" s="24" t="s">
        <v>397</v>
      </c>
      <c r="B885" s="59" t="s">
        <v>10</v>
      </c>
      <c r="C885" s="59" t="s">
        <v>10</v>
      </c>
      <c r="D885" s="59" t="s">
        <v>10</v>
      </c>
      <c r="E885" s="59" t="s">
        <v>10</v>
      </c>
      <c r="F885" s="59" t="s">
        <v>10</v>
      </c>
      <c r="G885" s="59" t="s">
        <v>10</v>
      </c>
      <c r="H885" s="76" t="s">
        <v>10</v>
      </c>
      <c r="K885" s="13"/>
    </row>
    <row r="886" spans="1:11" ht="14.4" thickBot="1" x14ac:dyDescent="0.35">
      <c r="A886" s="25" t="s">
        <v>398</v>
      </c>
      <c r="B886" s="22" t="s">
        <v>10</v>
      </c>
      <c r="C886" s="22" t="s">
        <v>10</v>
      </c>
      <c r="D886" s="22" t="s">
        <v>10</v>
      </c>
      <c r="E886" s="22" t="s">
        <v>10</v>
      </c>
      <c r="F886" s="22" t="s">
        <v>10</v>
      </c>
      <c r="G886" s="22" t="s">
        <v>10</v>
      </c>
      <c r="H886" s="64" t="s">
        <v>10</v>
      </c>
    </row>
    <row r="888" spans="1:11" x14ac:dyDescent="0.3">
      <c r="A888" s="77" t="s">
        <v>424</v>
      </c>
      <c r="B888" s="77"/>
      <c r="C888" s="77"/>
      <c r="D888" s="77"/>
      <c r="E888" s="77"/>
      <c r="F888" s="77"/>
    </row>
    <row r="889" spans="1:11" x14ac:dyDescent="0.3">
      <c r="A889" s="77"/>
      <c r="B889" s="77"/>
      <c r="C889" s="77"/>
      <c r="D889" s="77"/>
      <c r="E889" s="77"/>
      <c r="F889" s="77"/>
    </row>
    <row r="890" spans="1:11" ht="14.4" thickBot="1" x14ac:dyDescent="0.35"/>
    <row r="891" spans="1:11" x14ac:dyDescent="0.3">
      <c r="A891" s="78" t="s">
        <v>114</v>
      </c>
      <c r="B891" s="80">
        <v>2007</v>
      </c>
      <c r="C891" s="80">
        <v>2008</v>
      </c>
      <c r="D891" s="80">
        <v>2009</v>
      </c>
      <c r="E891" s="80">
        <v>2010</v>
      </c>
      <c r="F891" s="80">
        <v>2011</v>
      </c>
      <c r="G891" s="80">
        <v>2012</v>
      </c>
      <c r="H891" s="82">
        <v>2013</v>
      </c>
    </row>
    <row r="892" spans="1:11" ht="14.4" thickBot="1" x14ac:dyDescent="0.35">
      <c r="A892" s="79"/>
      <c r="B892" s="81"/>
      <c r="C892" s="81"/>
      <c r="D892" s="81"/>
      <c r="E892" s="81"/>
      <c r="F892" s="81"/>
      <c r="G892" s="81"/>
      <c r="H892" s="83"/>
    </row>
    <row r="893" spans="1:11" x14ac:dyDescent="0.3">
      <c r="A893" s="29" t="s">
        <v>49</v>
      </c>
      <c r="B893" s="13">
        <f>SUM(B894:B918)</f>
        <v>478918.10384</v>
      </c>
      <c r="C893" s="13">
        <f t="shared" ref="C893:H893" si="23">SUM(C894:C918)</f>
        <v>474391.80567999993</v>
      </c>
      <c r="D893" s="13">
        <f t="shared" si="23"/>
        <v>308374.49433000002</v>
      </c>
      <c r="E893" s="13">
        <f t="shared" si="23"/>
        <v>567225.96103000001</v>
      </c>
      <c r="F893" s="13">
        <f t="shared" si="23"/>
        <v>821042.47225999995</v>
      </c>
      <c r="G893" s="13">
        <f t="shared" si="23"/>
        <v>496572.18479999999</v>
      </c>
      <c r="H893" s="53">
        <f t="shared" si="23"/>
        <v>478831.00997000001</v>
      </c>
    </row>
    <row r="894" spans="1:11" x14ac:dyDescent="0.3">
      <c r="A894" s="24" t="s">
        <v>374</v>
      </c>
      <c r="B894" s="13">
        <v>72.610579999999999</v>
      </c>
      <c r="C894" s="13">
        <v>134.25978000000001</v>
      </c>
      <c r="D894" s="13">
        <v>4.4356</v>
      </c>
      <c r="E894" s="13">
        <v>4.4682299999999993</v>
      </c>
      <c r="F894" s="13">
        <v>0.92337999999999998</v>
      </c>
      <c r="G894" s="13">
        <v>3.8969999999999998E-2</v>
      </c>
      <c r="H894" s="53">
        <v>4.7899999999999998E-2</v>
      </c>
    </row>
    <row r="895" spans="1:11" x14ac:dyDescent="0.3">
      <c r="A895" s="24" t="s">
        <v>375</v>
      </c>
      <c r="B895" s="13">
        <v>4425.18948</v>
      </c>
      <c r="C895" s="13">
        <v>5169.3774800000001</v>
      </c>
      <c r="D895" s="13">
        <v>1914.9843799999999</v>
      </c>
      <c r="E895" s="13">
        <v>4392.0936799999999</v>
      </c>
      <c r="F895" s="13">
        <v>5143.7771199999988</v>
      </c>
      <c r="G895" s="13">
        <v>2307.8364799999999</v>
      </c>
      <c r="H895" s="53">
        <v>3591.9390099999996</v>
      </c>
    </row>
    <row r="896" spans="1:11" x14ac:dyDescent="0.3">
      <c r="A896" s="24" t="s">
        <v>376</v>
      </c>
      <c r="B896" s="13">
        <v>3107.4047999999998</v>
      </c>
      <c r="C896" s="13">
        <v>2377.5450799999999</v>
      </c>
      <c r="D896" s="13">
        <v>454.83562000000001</v>
      </c>
      <c r="E896" s="13">
        <v>140.12743</v>
      </c>
      <c r="F896" s="13">
        <v>630.92985999999996</v>
      </c>
      <c r="G896" s="13">
        <v>1467.0026200000002</v>
      </c>
      <c r="H896" s="53">
        <v>2311.4477299999999</v>
      </c>
    </row>
    <row r="897" spans="1:11" x14ac:dyDescent="0.3">
      <c r="A897" s="24" t="s">
        <v>377</v>
      </c>
      <c r="B897" s="13">
        <v>15152.959699999999</v>
      </c>
      <c r="C897" s="13">
        <v>32353.501700000001</v>
      </c>
      <c r="D897" s="13">
        <v>37677.743799999997</v>
      </c>
      <c r="E897" s="13">
        <v>47817.20811</v>
      </c>
      <c r="F897" s="13">
        <v>62327.358510000005</v>
      </c>
      <c r="G897" s="13">
        <v>34047.457600000002</v>
      </c>
      <c r="H897" s="53">
        <v>28469.309439999997</v>
      </c>
    </row>
    <row r="898" spans="1:11" x14ac:dyDescent="0.3">
      <c r="A898" s="24" t="s">
        <v>378</v>
      </c>
      <c r="B898" s="13">
        <v>2142.7504399999998</v>
      </c>
      <c r="C898" s="13">
        <v>2987.5363299999999</v>
      </c>
      <c r="D898" s="13">
        <v>5680.4832700000006</v>
      </c>
      <c r="E898" s="13">
        <v>14009.727849999999</v>
      </c>
      <c r="F898" s="13">
        <v>27428.580689999999</v>
      </c>
      <c r="G898" s="13">
        <v>11305.5245</v>
      </c>
      <c r="H898" s="53">
        <v>8838.1119099999996</v>
      </c>
    </row>
    <row r="899" spans="1:11" x14ac:dyDescent="0.3">
      <c r="A899" s="24" t="s">
        <v>379</v>
      </c>
      <c r="B899" s="13">
        <v>229.75264000000001</v>
      </c>
      <c r="C899" s="13">
        <v>603.61946</v>
      </c>
      <c r="D899" s="13">
        <v>14610.063890000001</v>
      </c>
      <c r="E899" s="13">
        <v>57124.731619999999</v>
      </c>
      <c r="F899" s="13">
        <v>89462.97834999999</v>
      </c>
      <c r="G899" s="13">
        <v>54639.954949999999</v>
      </c>
      <c r="H899" s="53">
        <v>85457.657430000007</v>
      </c>
      <c r="K899" s="21"/>
    </row>
    <row r="900" spans="1:11" x14ac:dyDescent="0.3">
      <c r="A900" s="24" t="s">
        <v>380</v>
      </c>
      <c r="B900" s="13" t="s">
        <v>10</v>
      </c>
      <c r="C900" s="13" t="s">
        <v>10</v>
      </c>
      <c r="D900" s="13" t="s">
        <v>10</v>
      </c>
      <c r="E900" s="13" t="s">
        <v>10</v>
      </c>
      <c r="F900" s="13" t="s">
        <v>10</v>
      </c>
      <c r="G900" s="13" t="s">
        <v>10</v>
      </c>
      <c r="H900" s="53" t="s">
        <v>10</v>
      </c>
    </row>
    <row r="901" spans="1:11" x14ac:dyDescent="0.3">
      <c r="A901" s="24" t="s">
        <v>381</v>
      </c>
      <c r="B901" s="13" t="s">
        <v>10</v>
      </c>
      <c r="C901" s="13" t="s">
        <v>10</v>
      </c>
      <c r="D901" s="13" t="s">
        <v>10</v>
      </c>
      <c r="E901" s="13">
        <v>19385.82963</v>
      </c>
      <c r="F901" s="13">
        <v>39996.698870000007</v>
      </c>
      <c r="G901" s="13">
        <v>28282.071580000003</v>
      </c>
      <c r="H901" s="53">
        <v>21311.416559999998</v>
      </c>
    </row>
    <row r="902" spans="1:11" x14ac:dyDescent="0.3">
      <c r="A902" s="24" t="s">
        <v>382</v>
      </c>
      <c r="B902" s="13">
        <v>8007.1804099999999</v>
      </c>
      <c r="C902" s="13">
        <v>13695.531999999999</v>
      </c>
      <c r="D902" s="13">
        <v>7409.6059699999996</v>
      </c>
      <c r="E902" s="13">
        <v>11902.85982</v>
      </c>
      <c r="F902" s="13">
        <v>21536.75489</v>
      </c>
      <c r="G902" s="13">
        <v>7169.6619799999999</v>
      </c>
      <c r="H902" s="53">
        <v>6575.7038800000009</v>
      </c>
    </row>
    <row r="903" spans="1:11" x14ac:dyDescent="0.3">
      <c r="A903" s="24" t="s">
        <v>383</v>
      </c>
      <c r="B903" s="13">
        <v>3478.6842200000001</v>
      </c>
      <c r="C903" s="13">
        <v>1932.10374</v>
      </c>
      <c r="D903" s="13">
        <v>925.94893999999999</v>
      </c>
      <c r="E903" s="13">
        <v>1421.2395300000001</v>
      </c>
      <c r="F903" s="13">
        <v>2460.4032599999996</v>
      </c>
      <c r="G903" s="13">
        <v>1312.7873999999999</v>
      </c>
      <c r="H903" s="53">
        <v>1350.6100300000001</v>
      </c>
    </row>
    <row r="904" spans="1:11" x14ac:dyDescent="0.3">
      <c r="A904" s="24" t="s">
        <v>384</v>
      </c>
      <c r="B904" s="13">
        <v>7924.2336699999996</v>
      </c>
      <c r="C904" s="13">
        <v>11287.17331</v>
      </c>
      <c r="D904" s="13">
        <v>8048.3003600000002</v>
      </c>
      <c r="E904" s="13">
        <v>12491.67052</v>
      </c>
      <c r="F904" s="13">
        <v>28657.840519999998</v>
      </c>
      <c r="G904" s="13">
        <v>50162.705790000007</v>
      </c>
      <c r="H904" s="53">
        <v>39303.661749999999</v>
      </c>
    </row>
    <row r="905" spans="1:11" x14ac:dyDescent="0.3">
      <c r="A905" s="24" t="s">
        <v>385</v>
      </c>
      <c r="B905" s="13">
        <v>41214.041580000005</v>
      </c>
      <c r="C905" s="13">
        <v>28059.807410000001</v>
      </c>
      <c r="D905" s="13">
        <v>20609.806090000002</v>
      </c>
      <c r="E905" s="13">
        <v>35561.680090000002</v>
      </c>
      <c r="F905" s="13">
        <v>51439.200920000003</v>
      </c>
      <c r="G905" s="13">
        <v>14513.337109999999</v>
      </c>
      <c r="H905" s="53">
        <v>22211.86953</v>
      </c>
    </row>
    <row r="906" spans="1:11" x14ac:dyDescent="0.3">
      <c r="A906" s="24" t="s">
        <v>386</v>
      </c>
      <c r="B906" s="13">
        <v>17551.853629999998</v>
      </c>
      <c r="C906" s="13">
        <v>23501.266939999998</v>
      </c>
      <c r="D906" s="13">
        <v>26089.77318</v>
      </c>
      <c r="E906" s="13">
        <v>41357.775410000002</v>
      </c>
      <c r="F906" s="13">
        <v>62079.46142</v>
      </c>
      <c r="G906" s="13">
        <v>46281.459060000001</v>
      </c>
      <c r="H906" s="53">
        <v>43177.064250000003</v>
      </c>
      <c r="K906" s="21"/>
    </row>
    <row r="907" spans="1:11" x14ac:dyDescent="0.3">
      <c r="A907" s="24" t="s">
        <v>387</v>
      </c>
      <c r="B907" s="13" t="s">
        <v>10</v>
      </c>
      <c r="C907" s="13" t="s">
        <v>10</v>
      </c>
      <c r="D907" s="13" t="s">
        <v>10</v>
      </c>
      <c r="E907" s="13">
        <v>25.895600000000002</v>
      </c>
      <c r="F907" s="13">
        <v>124.42408999999999</v>
      </c>
      <c r="G907" s="13">
        <v>29.153980000000004</v>
      </c>
      <c r="H907" s="53" t="s">
        <v>10</v>
      </c>
    </row>
    <row r="908" spans="1:11" x14ac:dyDescent="0.3">
      <c r="A908" s="24" t="s">
        <v>388</v>
      </c>
      <c r="B908" s="13">
        <v>45075.171069999997</v>
      </c>
      <c r="C908" s="13">
        <v>42749.831790000004</v>
      </c>
      <c r="D908" s="13">
        <v>18927.527099999999</v>
      </c>
      <c r="E908" s="13">
        <v>35863.622449999995</v>
      </c>
      <c r="F908" s="13">
        <v>69320.654709999988</v>
      </c>
      <c r="G908" s="13">
        <v>26921.423360000001</v>
      </c>
      <c r="H908" s="53">
        <v>29843.26412</v>
      </c>
      <c r="K908" s="21"/>
    </row>
    <row r="909" spans="1:11" x14ac:dyDescent="0.3">
      <c r="A909" s="24" t="s">
        <v>389</v>
      </c>
      <c r="B909" s="13" t="s">
        <v>10</v>
      </c>
      <c r="C909" s="13" t="s">
        <v>10</v>
      </c>
      <c r="D909" s="13" t="s">
        <v>10</v>
      </c>
      <c r="E909" s="13" t="s">
        <v>10</v>
      </c>
      <c r="F909" s="13" t="s">
        <v>10</v>
      </c>
      <c r="G909" s="13" t="s">
        <v>10</v>
      </c>
      <c r="H909" s="53" t="s">
        <v>10</v>
      </c>
      <c r="K909" s="21"/>
    </row>
    <row r="910" spans="1:11" x14ac:dyDescent="0.3">
      <c r="A910" s="24" t="s">
        <v>390</v>
      </c>
      <c r="B910" s="13" t="s">
        <v>10</v>
      </c>
      <c r="C910" s="13" t="s">
        <v>10</v>
      </c>
      <c r="D910" s="13" t="s">
        <v>10</v>
      </c>
      <c r="E910" s="13" t="s">
        <v>10</v>
      </c>
      <c r="F910" s="13" t="s">
        <v>10</v>
      </c>
      <c r="G910" s="13" t="s">
        <v>10</v>
      </c>
      <c r="H910" s="53" t="s">
        <v>10</v>
      </c>
    </row>
    <row r="911" spans="1:11" x14ac:dyDescent="0.3">
      <c r="A911" s="24" t="s">
        <v>391</v>
      </c>
      <c r="B911" s="13">
        <v>95313.610189999992</v>
      </c>
      <c r="C911" s="13">
        <v>104590.05772999999</v>
      </c>
      <c r="D911" s="13">
        <v>55321.785939999994</v>
      </c>
      <c r="E911" s="13">
        <v>93874.113729999997</v>
      </c>
      <c r="F911" s="13">
        <v>102567.80725</v>
      </c>
      <c r="G911" s="13">
        <v>88816.446790000002</v>
      </c>
      <c r="H911" s="53">
        <v>58598.498910000002</v>
      </c>
    </row>
    <row r="912" spans="1:11" x14ac:dyDescent="0.3">
      <c r="A912" s="24" t="s">
        <v>392</v>
      </c>
      <c r="B912" s="13">
        <v>92382.901910000015</v>
      </c>
      <c r="C912" s="13">
        <v>57814.65122</v>
      </c>
      <c r="D912" s="13">
        <v>31390.468670000002</v>
      </c>
      <c r="E912" s="13">
        <v>52135.741820000003</v>
      </c>
      <c r="F912" s="13">
        <v>75166.609329999992</v>
      </c>
      <c r="G912" s="13">
        <v>24788.149420000002</v>
      </c>
      <c r="H912" s="53">
        <v>32663.589809999998</v>
      </c>
    </row>
    <row r="913" spans="1:8" x14ac:dyDescent="0.3">
      <c r="A913" s="24" t="s">
        <v>393</v>
      </c>
      <c r="B913" s="13">
        <v>0.75884000000000007</v>
      </c>
      <c r="C913" s="13">
        <v>0.91331000000000007</v>
      </c>
      <c r="D913" s="13">
        <v>0</v>
      </c>
      <c r="E913" s="13">
        <v>1.29054</v>
      </c>
      <c r="F913" s="13">
        <v>168.58392000000001</v>
      </c>
      <c r="G913" s="13">
        <v>127.07722</v>
      </c>
      <c r="H913" s="53">
        <v>172.33472</v>
      </c>
    </row>
    <row r="914" spans="1:8" x14ac:dyDescent="0.3">
      <c r="A914" s="24" t="s">
        <v>394</v>
      </c>
      <c r="B914" s="13">
        <v>36685.326000000001</v>
      </c>
      <c r="C914" s="13">
        <v>62394.204469999997</v>
      </c>
      <c r="D914" s="13">
        <v>38500.189060000004</v>
      </c>
      <c r="E914" s="13">
        <v>64903.313179999997</v>
      </c>
      <c r="F914" s="13">
        <v>76674.84461</v>
      </c>
      <c r="G914" s="13">
        <v>59113.704180000001</v>
      </c>
      <c r="H914" s="53">
        <v>46641.56882</v>
      </c>
    </row>
    <row r="915" spans="1:8" x14ac:dyDescent="0.3">
      <c r="A915" s="24" t="s">
        <v>395</v>
      </c>
      <c r="B915" s="13">
        <v>11.50442</v>
      </c>
      <c r="C915" s="13">
        <v>14.99184</v>
      </c>
      <c r="D915" s="13">
        <v>15.56108</v>
      </c>
      <c r="E915" s="13">
        <v>19.786429999999999</v>
      </c>
      <c r="F915" s="13">
        <v>70.113839999999996</v>
      </c>
      <c r="G915" s="13">
        <v>103.0839</v>
      </c>
      <c r="H915" s="53">
        <v>108.14515000000002</v>
      </c>
    </row>
    <row r="916" spans="1:8" x14ac:dyDescent="0.3">
      <c r="A916" s="24" t="s">
        <v>396</v>
      </c>
      <c r="B916" s="13">
        <v>106142.17025999998</v>
      </c>
      <c r="C916" s="13">
        <v>84725.432090000002</v>
      </c>
      <c r="D916" s="13">
        <v>40792.981380000005</v>
      </c>
      <c r="E916" s="13">
        <v>74792.785359999994</v>
      </c>
      <c r="F916" s="13">
        <v>105784.52671999999</v>
      </c>
      <c r="G916" s="13">
        <v>45183.307909999996</v>
      </c>
      <c r="H916" s="53">
        <v>48204.769019999992</v>
      </c>
    </row>
    <row r="917" spans="1:8" x14ac:dyDescent="0.3">
      <c r="A917" s="24" t="s">
        <v>397</v>
      </c>
      <c r="B917" s="13" t="s">
        <v>10</v>
      </c>
      <c r="C917" s="13" t="s">
        <v>10</v>
      </c>
      <c r="D917" s="13" t="s">
        <v>10</v>
      </c>
      <c r="E917" s="13" t="s">
        <v>10</v>
      </c>
      <c r="F917" s="13" t="s">
        <v>10</v>
      </c>
      <c r="G917" s="13" t="s">
        <v>10</v>
      </c>
      <c r="H917" s="53" t="s">
        <v>10</v>
      </c>
    </row>
    <row r="918" spans="1:8" ht="14.4" thickBot="1" x14ac:dyDescent="0.35">
      <c r="A918" s="25" t="s">
        <v>398</v>
      </c>
      <c r="B918" s="14" t="s">
        <v>10</v>
      </c>
      <c r="C918" s="15" t="s">
        <v>10</v>
      </c>
      <c r="D918" s="15" t="s">
        <v>10</v>
      </c>
      <c r="E918" s="15" t="s">
        <v>10</v>
      </c>
      <c r="F918" s="15" t="s">
        <v>10</v>
      </c>
      <c r="G918" s="15" t="s">
        <v>10</v>
      </c>
      <c r="H918" s="54" t="s">
        <v>10</v>
      </c>
    </row>
    <row r="920" spans="1:8" x14ac:dyDescent="0.3">
      <c r="A920" s="77" t="s">
        <v>425</v>
      </c>
      <c r="B920" s="77"/>
      <c r="C920" s="77"/>
      <c r="D920" s="77"/>
      <c r="E920" s="77"/>
      <c r="F920" s="77"/>
    </row>
    <row r="921" spans="1:8" x14ac:dyDescent="0.3">
      <c r="A921" s="77"/>
      <c r="B921" s="77"/>
      <c r="C921" s="77"/>
      <c r="D921" s="77"/>
      <c r="E921" s="77"/>
      <c r="F921" s="77"/>
    </row>
    <row r="922" spans="1:8" ht="14.4" thickBot="1" x14ac:dyDescent="0.35"/>
    <row r="923" spans="1:8" x14ac:dyDescent="0.3">
      <c r="A923" s="78" t="s">
        <v>114</v>
      </c>
      <c r="B923" s="80">
        <v>2007</v>
      </c>
      <c r="C923" s="80">
        <v>2008</v>
      </c>
      <c r="D923" s="80">
        <v>2009</v>
      </c>
      <c r="E923" s="80">
        <v>2010</v>
      </c>
      <c r="F923" s="80">
        <v>2011</v>
      </c>
      <c r="G923" s="80">
        <v>2012</v>
      </c>
      <c r="H923" s="82">
        <v>2013</v>
      </c>
    </row>
    <row r="924" spans="1:8" ht="14.4" thickBot="1" x14ac:dyDescent="0.35">
      <c r="A924" s="79"/>
      <c r="B924" s="81"/>
      <c r="C924" s="81"/>
      <c r="D924" s="81"/>
      <c r="E924" s="81"/>
      <c r="F924" s="81"/>
      <c r="G924" s="81"/>
      <c r="H924" s="83"/>
    </row>
    <row r="925" spans="1:8" x14ac:dyDescent="0.3">
      <c r="A925" s="29" t="s">
        <v>49</v>
      </c>
      <c r="B925" s="13">
        <f>SUM(B926:B950)</f>
        <v>97086.931147200012</v>
      </c>
      <c r="C925" s="13">
        <f t="shared" ref="C925" si="24">SUM(C926:C950)</f>
        <v>117944.89300459038</v>
      </c>
      <c r="D925" s="13">
        <f t="shared" ref="D925" si="25">SUM(D926:D950)</f>
        <v>115901.95610024061</v>
      </c>
      <c r="E925" s="13">
        <f t="shared" ref="E925" si="26">SUM(E926:E950)</f>
        <v>142114.19239841757</v>
      </c>
      <c r="F925" s="13">
        <f t="shared" ref="F925" si="27">SUM(F926:F950)</f>
        <v>153333.24643703079</v>
      </c>
      <c r="G925" s="13">
        <f t="shared" ref="G925" si="28">SUM(G926:G950)</f>
        <v>164714.00427582403</v>
      </c>
      <c r="H925" s="53">
        <f t="shared" ref="H925" si="29">SUM(H926:H950)</f>
        <v>172438.81746004056</v>
      </c>
    </row>
    <row r="926" spans="1:8" x14ac:dyDescent="0.3">
      <c r="A926" s="24" t="s">
        <v>374</v>
      </c>
      <c r="B926" s="13">
        <v>1334.3288898000001</v>
      </c>
      <c r="C926" s="13">
        <v>1885.4468577241739</v>
      </c>
      <c r="D926" s="13">
        <v>2604.1360375251224</v>
      </c>
      <c r="E926" s="13">
        <v>2802.081899082415</v>
      </c>
      <c r="F926" s="13">
        <v>2758.9120843818359</v>
      </c>
      <c r="G926" s="13">
        <v>2598.9377619712554</v>
      </c>
      <c r="H926" s="53">
        <v>1825.7916429200002</v>
      </c>
    </row>
    <row r="927" spans="1:8" x14ac:dyDescent="0.3">
      <c r="A927" s="24" t="s">
        <v>375</v>
      </c>
      <c r="B927" s="13">
        <v>6919.6920354999993</v>
      </c>
      <c r="C927" s="13">
        <v>7656.2224693285734</v>
      </c>
      <c r="D927" s="13">
        <v>7271.730019549429</v>
      </c>
      <c r="E927" s="13">
        <v>8097.9469850280311</v>
      </c>
      <c r="F927" s="13">
        <v>9392.4142086814063</v>
      </c>
      <c r="G927" s="13">
        <v>10256.307121006877</v>
      </c>
      <c r="H927" s="53">
        <v>12277.707738180003</v>
      </c>
    </row>
    <row r="928" spans="1:8" x14ac:dyDescent="0.3">
      <c r="A928" s="24" t="s">
        <v>376</v>
      </c>
      <c r="B928" s="13">
        <v>4369.0439093000005</v>
      </c>
      <c r="C928" s="13">
        <v>7312.8412329840012</v>
      </c>
      <c r="D928" s="13">
        <v>4901.3826419947009</v>
      </c>
      <c r="E928" s="13">
        <v>6571.7179971504147</v>
      </c>
      <c r="F928" s="13">
        <v>7718.3623780964617</v>
      </c>
      <c r="G928" s="13">
        <v>7755.2662230911355</v>
      </c>
      <c r="H928" s="53">
        <v>9241.0300819799995</v>
      </c>
    </row>
    <row r="929" spans="1:8" x14ac:dyDescent="0.3">
      <c r="A929" s="24" t="s">
        <v>377</v>
      </c>
      <c r="B929" s="13">
        <v>11322.521297599998</v>
      </c>
      <c r="C929" s="13">
        <v>11777.471507764734</v>
      </c>
      <c r="D929" s="13">
        <v>13171.182898758336</v>
      </c>
      <c r="E929" s="13">
        <v>17153.291728687189</v>
      </c>
      <c r="F929" s="13">
        <v>18448.408873281682</v>
      </c>
      <c r="G929" s="13">
        <v>18923.925400259413</v>
      </c>
      <c r="H929" s="53">
        <v>21230.830522079999</v>
      </c>
    </row>
    <row r="930" spans="1:8" x14ac:dyDescent="0.3">
      <c r="A930" s="24" t="s">
        <v>378</v>
      </c>
      <c r="B930" s="13">
        <v>5826.1588182999994</v>
      </c>
      <c r="C930" s="13">
        <v>6863.9884434866417</v>
      </c>
      <c r="D930" s="13">
        <v>4986.3690543342582</v>
      </c>
      <c r="E930" s="13">
        <v>7957.769197267633</v>
      </c>
      <c r="F930" s="13">
        <v>8454.0821447049784</v>
      </c>
      <c r="G930" s="13">
        <v>9082.065830690608</v>
      </c>
      <c r="H930" s="53">
        <v>9929.5048179599999</v>
      </c>
    </row>
    <row r="931" spans="1:8" x14ac:dyDescent="0.3">
      <c r="A931" s="24" t="s">
        <v>379</v>
      </c>
      <c r="B931" s="13">
        <v>9335.2812338999993</v>
      </c>
      <c r="C931" s="13">
        <v>13324.471013770783</v>
      </c>
      <c r="D931" s="13">
        <v>13318.849086986749</v>
      </c>
      <c r="E931" s="13">
        <v>15049.567406510747</v>
      </c>
      <c r="F931" s="13">
        <v>15557.516712760731</v>
      </c>
      <c r="G931" s="13">
        <v>15852.389235077644</v>
      </c>
      <c r="H931" s="53">
        <v>15830.478344440002</v>
      </c>
    </row>
    <row r="932" spans="1:8" x14ac:dyDescent="0.3">
      <c r="A932" s="24" t="s">
        <v>380</v>
      </c>
      <c r="B932" s="13">
        <v>10.5895118</v>
      </c>
      <c r="C932" s="13">
        <v>11.300060776316483</v>
      </c>
      <c r="D932" s="13">
        <v>11.245963526444283</v>
      </c>
      <c r="E932" s="13">
        <v>22.428265658171252</v>
      </c>
      <c r="F932" s="13">
        <v>5.0880357128230456</v>
      </c>
      <c r="G932" s="13">
        <v>7.5790649344109848</v>
      </c>
      <c r="H932" s="53">
        <v>17.516543240000001</v>
      </c>
    </row>
    <row r="933" spans="1:8" x14ac:dyDescent="0.3">
      <c r="A933" s="24" t="s">
        <v>381</v>
      </c>
      <c r="B933" s="13">
        <v>6483.4004341</v>
      </c>
      <c r="C933" s="13">
        <v>8335.5378569511358</v>
      </c>
      <c r="D933" s="13">
        <v>8329.0961438863742</v>
      </c>
      <c r="E933" s="13">
        <v>7606.1001849861286</v>
      </c>
      <c r="F933" s="13">
        <v>9659.6964300015625</v>
      </c>
      <c r="G933" s="13">
        <v>10939.122498419807</v>
      </c>
      <c r="H933" s="53">
        <v>12387.522480200001</v>
      </c>
    </row>
    <row r="934" spans="1:8" x14ac:dyDescent="0.3">
      <c r="A934" s="24" t="s">
        <v>382</v>
      </c>
      <c r="B934" s="13">
        <v>5187.6849021999997</v>
      </c>
      <c r="C934" s="13">
        <v>5581.6492709796994</v>
      </c>
      <c r="D934" s="13">
        <v>5155.7313510648237</v>
      </c>
      <c r="E934" s="13">
        <v>5154.7387779010278</v>
      </c>
      <c r="F934" s="13">
        <v>7840.5918007516257</v>
      </c>
      <c r="G934" s="13">
        <v>7771.4746991853417</v>
      </c>
      <c r="H934" s="53">
        <v>8466.0637667800002</v>
      </c>
    </row>
    <row r="935" spans="1:8" x14ac:dyDescent="0.3">
      <c r="A935" s="24" t="s">
        <v>383</v>
      </c>
      <c r="B935" s="13">
        <v>1440.8880594</v>
      </c>
      <c r="C935" s="13">
        <v>2463.4205479415778</v>
      </c>
      <c r="D935" s="13">
        <v>1329.6656420551419</v>
      </c>
      <c r="E935" s="13">
        <v>1515.4540002538556</v>
      </c>
      <c r="F935" s="13">
        <v>1702.3698013526184</v>
      </c>
      <c r="G935" s="13">
        <v>2326.7849731547067</v>
      </c>
      <c r="H935" s="53">
        <v>2581.9057791999999</v>
      </c>
    </row>
    <row r="936" spans="1:8" x14ac:dyDescent="0.3">
      <c r="A936" s="24" t="s">
        <v>384</v>
      </c>
      <c r="B936" s="13">
        <v>2607.4098925999997</v>
      </c>
      <c r="C936" s="13">
        <v>3429.8729844797267</v>
      </c>
      <c r="D936" s="13">
        <v>3060.7165959932036</v>
      </c>
      <c r="E936" s="13">
        <v>4025.5714172085313</v>
      </c>
      <c r="F936" s="13">
        <v>4414.7703028009673</v>
      </c>
      <c r="G936" s="13">
        <v>3968.7459335675007</v>
      </c>
      <c r="H936" s="53">
        <v>5200.4784551406001</v>
      </c>
    </row>
    <row r="937" spans="1:8" x14ac:dyDescent="0.3">
      <c r="A937" s="24" t="s">
        <v>385</v>
      </c>
      <c r="B937" s="13">
        <v>4025.8029662999993</v>
      </c>
      <c r="C937" s="13">
        <v>4444.8567729877741</v>
      </c>
      <c r="D937" s="13">
        <v>4159.594253635747</v>
      </c>
      <c r="E937" s="13">
        <v>6139.8142762503339</v>
      </c>
      <c r="F937" s="13">
        <v>6393.9635306224654</v>
      </c>
      <c r="G937" s="13">
        <v>7345.4867249576564</v>
      </c>
      <c r="H937" s="53">
        <v>7856.5752497799995</v>
      </c>
    </row>
    <row r="938" spans="1:8" x14ac:dyDescent="0.3">
      <c r="A938" s="24" t="s">
        <v>386</v>
      </c>
      <c r="B938" s="13">
        <v>7381.3067697999995</v>
      </c>
      <c r="C938" s="13">
        <v>9710.9450055526959</v>
      </c>
      <c r="D938" s="13">
        <v>10380.841300382097</v>
      </c>
      <c r="E938" s="13">
        <v>11409.208843352168</v>
      </c>
      <c r="F938" s="13">
        <v>12095.515775883485</v>
      </c>
      <c r="G938" s="13">
        <v>13367.456898452088</v>
      </c>
      <c r="H938" s="53">
        <v>13543.38477472</v>
      </c>
    </row>
    <row r="939" spans="1:8" x14ac:dyDescent="0.3">
      <c r="A939" s="24" t="s">
        <v>387</v>
      </c>
      <c r="B939" s="13">
        <v>595.91035780000004</v>
      </c>
      <c r="C939" s="13">
        <v>1059.6657928002398</v>
      </c>
      <c r="D939" s="13">
        <v>1423.7069451710865</v>
      </c>
      <c r="E939" s="13">
        <v>1521.5198981679007</v>
      </c>
      <c r="F939" s="13">
        <v>1790.9864947222113</v>
      </c>
      <c r="G939" s="13">
        <v>1734.9789298764426</v>
      </c>
      <c r="H939" s="53">
        <v>1644.52514354</v>
      </c>
    </row>
    <row r="940" spans="1:8" x14ac:dyDescent="0.3">
      <c r="A940" s="24" t="s">
        <v>388</v>
      </c>
      <c r="B940" s="13">
        <v>7605.1184699999994</v>
      </c>
      <c r="C940" s="13">
        <v>7667.101506305552</v>
      </c>
      <c r="D940" s="13">
        <v>7801.7632186738747</v>
      </c>
      <c r="E940" s="13">
        <v>9431.3682414579071</v>
      </c>
      <c r="F940" s="13">
        <v>11380.129476038986</v>
      </c>
      <c r="G940" s="13">
        <v>11202.302463171163</v>
      </c>
      <c r="H940" s="53">
        <v>12173.083610840002</v>
      </c>
    </row>
    <row r="941" spans="1:8" x14ac:dyDescent="0.3">
      <c r="A941" s="24" t="s">
        <v>389</v>
      </c>
      <c r="B941" s="13">
        <v>214.35089860000002</v>
      </c>
      <c r="C941" s="13">
        <v>418.15115014961759</v>
      </c>
      <c r="D941" s="13">
        <v>477.06215524675179</v>
      </c>
      <c r="E941" s="13">
        <v>114.58023345233867</v>
      </c>
      <c r="F941" s="13">
        <v>488.9813828083972</v>
      </c>
      <c r="G941" s="13">
        <v>589.8877589190356</v>
      </c>
      <c r="H941" s="53">
        <v>414.05674178000004</v>
      </c>
    </row>
    <row r="942" spans="1:8" x14ac:dyDescent="0.3">
      <c r="A942" s="24" t="s">
        <v>390</v>
      </c>
      <c r="B942" s="13">
        <v>1411.0280541999998</v>
      </c>
      <c r="C942" s="13">
        <v>1503.5596201049827</v>
      </c>
      <c r="D942" s="13">
        <v>1815.4986870035345</v>
      </c>
      <c r="E942" s="13">
        <v>1929.8676567431935</v>
      </c>
      <c r="F942" s="13">
        <v>2087.3144489031447</v>
      </c>
      <c r="G942" s="13">
        <v>2339.7688466951731</v>
      </c>
      <c r="H942" s="53">
        <v>3449.1714610600002</v>
      </c>
    </row>
    <row r="943" spans="1:8" x14ac:dyDescent="0.3">
      <c r="A943" s="24" t="s">
        <v>391</v>
      </c>
      <c r="B943" s="13">
        <v>3597.7504802000003</v>
      </c>
      <c r="C943" s="13">
        <v>3869.8063761030935</v>
      </c>
      <c r="D943" s="13">
        <v>5234.4211746665833</v>
      </c>
      <c r="E943" s="13">
        <v>5892.9597344155909</v>
      </c>
      <c r="F943" s="13">
        <v>5043.3187105122406</v>
      </c>
      <c r="G943" s="13">
        <v>7083.8295892197757</v>
      </c>
      <c r="H943" s="53">
        <v>6106.2766426799999</v>
      </c>
    </row>
    <row r="944" spans="1:8" x14ac:dyDescent="0.3">
      <c r="A944" s="24" t="s">
        <v>392</v>
      </c>
      <c r="B944" s="13">
        <v>3493.5476666999998</v>
      </c>
      <c r="C944" s="13">
        <v>3960.3176947935099</v>
      </c>
      <c r="D944" s="13">
        <v>3923.2451533731664</v>
      </c>
      <c r="E944" s="13">
        <v>4310.3217462664225</v>
      </c>
      <c r="F944" s="13">
        <v>4398.5771907800381</v>
      </c>
      <c r="G944" s="13">
        <v>5657.187916911359</v>
      </c>
      <c r="H944" s="53">
        <v>6066.6301241000001</v>
      </c>
    </row>
    <row r="945" spans="1:8" x14ac:dyDescent="0.3">
      <c r="A945" s="24" t="s">
        <v>393</v>
      </c>
      <c r="B945" s="13">
        <v>3680.0231386</v>
      </c>
      <c r="C945" s="13">
        <v>5402.0527953502769</v>
      </c>
      <c r="D945" s="13">
        <v>5344.1386462381806</v>
      </c>
      <c r="E945" s="13">
        <v>5285.2814324795108</v>
      </c>
      <c r="F945" s="13">
        <v>5159.0135264978999</v>
      </c>
      <c r="G945" s="13">
        <v>6323.1450950636599</v>
      </c>
      <c r="H945" s="53">
        <v>6287.323951540001</v>
      </c>
    </row>
    <row r="946" spans="1:8" x14ac:dyDescent="0.3">
      <c r="A946" s="24" t="s">
        <v>394</v>
      </c>
      <c r="B946" s="13">
        <v>6760.6512968999996</v>
      </c>
      <c r="C946" s="13">
        <v>7046.2407818319407</v>
      </c>
      <c r="D946" s="13">
        <v>7291.2417582965218</v>
      </c>
      <c r="E946" s="13">
        <v>14325.726961119815</v>
      </c>
      <c r="F946" s="13">
        <v>13516.184165261489</v>
      </c>
      <c r="G946" s="13">
        <v>13686.42705351626</v>
      </c>
      <c r="H946" s="53">
        <v>10491.345324599997</v>
      </c>
    </row>
    <row r="947" spans="1:8" x14ac:dyDescent="0.3">
      <c r="A947" s="24" t="s">
        <v>395</v>
      </c>
      <c r="B947" s="13">
        <v>957.33337469999992</v>
      </c>
      <c r="C947" s="13">
        <v>1033.8204240482651</v>
      </c>
      <c r="D947" s="13">
        <v>664.52997573027722</v>
      </c>
      <c r="E947" s="13">
        <v>927.99341310510363</v>
      </c>
      <c r="F947" s="13">
        <v>869.38243109842392</v>
      </c>
      <c r="G947" s="13">
        <v>949.73602802175867</v>
      </c>
      <c r="H947" s="53">
        <v>913.44364187999997</v>
      </c>
    </row>
    <row r="948" spans="1:8" x14ac:dyDescent="0.3">
      <c r="A948" s="24" t="s">
        <v>396</v>
      </c>
      <c r="B948" s="13">
        <v>2423.4579626000004</v>
      </c>
      <c r="C948" s="13">
        <v>3146.1428147923079</v>
      </c>
      <c r="D948" s="13">
        <v>3207.8765915867662</v>
      </c>
      <c r="E948" s="13">
        <v>4802.513511701487</v>
      </c>
      <c r="F948" s="13">
        <v>4102.959310428364</v>
      </c>
      <c r="G948" s="13">
        <v>4833.5966362122972</v>
      </c>
      <c r="H948" s="53">
        <v>4411.7795142200002</v>
      </c>
    </row>
    <row r="949" spans="1:8" x14ac:dyDescent="0.3">
      <c r="A949" s="24" t="s">
        <v>397</v>
      </c>
      <c r="B949" s="13">
        <v>10.809351299999998</v>
      </c>
      <c r="C949" s="13">
        <v>11.310414307878293</v>
      </c>
      <c r="D949" s="13">
        <v>12.014912377266814</v>
      </c>
      <c r="E949" s="13">
        <v>19.463666679419461</v>
      </c>
      <c r="F949" s="13">
        <v>19.45587744269617</v>
      </c>
      <c r="G949" s="13">
        <v>43.553030509609975</v>
      </c>
      <c r="H949" s="53">
        <v>55.096257400000006</v>
      </c>
    </row>
    <row r="950" spans="1:8" ht="14.4" thickBot="1" x14ac:dyDescent="0.35">
      <c r="A950" s="25" t="s">
        <v>398</v>
      </c>
      <c r="B950" s="15">
        <v>92.841374999999999</v>
      </c>
      <c r="C950" s="15">
        <v>28.699609274904571</v>
      </c>
      <c r="D950" s="15">
        <v>25.915892184152653</v>
      </c>
      <c r="E950" s="15">
        <v>46.90492349222118</v>
      </c>
      <c r="F950" s="15">
        <v>35.251343504267922</v>
      </c>
      <c r="G950" s="15">
        <v>74.04856293907828</v>
      </c>
      <c r="H950" s="54">
        <v>37.29484978</v>
      </c>
    </row>
  </sheetData>
  <sortState ref="A29:H48">
    <sortCondition ref="A28:A48"/>
  </sortState>
  <mergeCells count="251">
    <mergeCell ref="A820:F821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A733:F734"/>
    <mergeCell ref="A737:A738"/>
    <mergeCell ref="B737:B738"/>
    <mergeCell ref="C737:C738"/>
    <mergeCell ref="D737:D738"/>
    <mergeCell ref="F663:F664"/>
    <mergeCell ref="G663:G664"/>
    <mergeCell ref="H663:H664"/>
    <mergeCell ref="A678:A679"/>
    <mergeCell ref="D678:D679"/>
    <mergeCell ref="A674:F675"/>
    <mergeCell ref="A663:A664"/>
    <mergeCell ref="B663:B664"/>
    <mergeCell ref="C663:C664"/>
    <mergeCell ref="D663:D664"/>
    <mergeCell ref="E663:E664"/>
    <mergeCell ref="A560:F561"/>
    <mergeCell ref="A563:A564"/>
    <mergeCell ref="B563:H563"/>
    <mergeCell ref="B628:H628"/>
    <mergeCell ref="A660:F661"/>
    <mergeCell ref="F530:F531"/>
    <mergeCell ref="A544:A545"/>
    <mergeCell ref="B544:B545"/>
    <mergeCell ref="C544:C545"/>
    <mergeCell ref="D544:D545"/>
    <mergeCell ref="E544:E545"/>
    <mergeCell ref="F544:F545"/>
    <mergeCell ref="A530:A531"/>
    <mergeCell ref="B530:B531"/>
    <mergeCell ref="C530:C531"/>
    <mergeCell ref="D530:D531"/>
    <mergeCell ref="E530:E531"/>
    <mergeCell ref="A513:F514"/>
    <mergeCell ref="A516:A517"/>
    <mergeCell ref="B516:B517"/>
    <mergeCell ref="C516:C517"/>
    <mergeCell ref="D516:D517"/>
    <mergeCell ref="E516:E517"/>
    <mergeCell ref="F516:F517"/>
    <mergeCell ref="H497:J497"/>
    <mergeCell ref="K497:M497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M498:M499"/>
    <mergeCell ref="A493:F494"/>
    <mergeCell ref="A497:A499"/>
    <mergeCell ref="B497:D497"/>
    <mergeCell ref="E497:G497"/>
    <mergeCell ref="A428:A429"/>
    <mergeCell ref="B428:B429"/>
    <mergeCell ref="C428:C429"/>
    <mergeCell ref="D428:D429"/>
    <mergeCell ref="A467:A468"/>
    <mergeCell ref="B467:B468"/>
    <mergeCell ref="C467:C468"/>
    <mergeCell ref="D467:D468"/>
    <mergeCell ref="A372:F373"/>
    <mergeCell ref="A375:A376"/>
    <mergeCell ref="B375:B376"/>
    <mergeCell ref="C375:C376"/>
    <mergeCell ref="D375:D376"/>
    <mergeCell ref="I343:I344"/>
    <mergeCell ref="A358:F359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A340:F341"/>
    <mergeCell ref="A343:A344"/>
    <mergeCell ref="B343:B344"/>
    <mergeCell ref="D343:D344"/>
    <mergeCell ref="E343:E344"/>
    <mergeCell ref="F343:F344"/>
    <mergeCell ref="G343:G344"/>
    <mergeCell ref="H343:H344"/>
    <mergeCell ref="C343:C344"/>
    <mergeCell ref="A321:F322"/>
    <mergeCell ref="A324:A325"/>
    <mergeCell ref="B324:B325"/>
    <mergeCell ref="C324:C325"/>
    <mergeCell ref="D324:D325"/>
    <mergeCell ref="E324:E325"/>
    <mergeCell ref="F324:F325"/>
    <mergeCell ref="G278:G279"/>
    <mergeCell ref="H278:H279"/>
    <mergeCell ref="A298:F299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G324:G325"/>
    <mergeCell ref="H324:H325"/>
    <mergeCell ref="A275:F276"/>
    <mergeCell ref="A278:A279"/>
    <mergeCell ref="B278:B279"/>
    <mergeCell ref="C278:C279"/>
    <mergeCell ref="D278:D279"/>
    <mergeCell ref="E278:E279"/>
    <mergeCell ref="F278:F279"/>
    <mergeCell ref="G236:G237"/>
    <mergeCell ref="H236:H237"/>
    <mergeCell ref="A255:F256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A233:F234"/>
    <mergeCell ref="A236:A237"/>
    <mergeCell ref="B236:B237"/>
    <mergeCell ref="C236:C237"/>
    <mergeCell ref="D236:D237"/>
    <mergeCell ref="E236:E237"/>
    <mergeCell ref="F236:F237"/>
    <mergeCell ref="G177:G178"/>
    <mergeCell ref="H177:H178"/>
    <mergeCell ref="A202:F203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A177:A178"/>
    <mergeCell ref="B177:B178"/>
    <mergeCell ref="C177:C178"/>
    <mergeCell ref="D177:D178"/>
    <mergeCell ref="E177:E178"/>
    <mergeCell ref="F177:F178"/>
    <mergeCell ref="G110:G111"/>
    <mergeCell ref="H110:H111"/>
    <mergeCell ref="A174:F175"/>
    <mergeCell ref="A1:F2"/>
    <mergeCell ref="A50:A51"/>
    <mergeCell ref="B50:B51"/>
    <mergeCell ref="C50:C51"/>
    <mergeCell ref="D50:D51"/>
    <mergeCell ref="E50:E51"/>
    <mergeCell ref="F50:F51"/>
    <mergeCell ref="F4:F5"/>
    <mergeCell ref="G4:G5"/>
    <mergeCell ref="A143:A144"/>
    <mergeCell ref="B143:B144"/>
    <mergeCell ref="C143:C144"/>
    <mergeCell ref="D143:D144"/>
    <mergeCell ref="E143:E144"/>
    <mergeCell ref="F143:F144"/>
    <mergeCell ref="A110:A111"/>
    <mergeCell ref="B110:B111"/>
    <mergeCell ref="C110:C111"/>
    <mergeCell ref="D110:D111"/>
    <mergeCell ref="E110:E111"/>
    <mergeCell ref="F110:F111"/>
    <mergeCell ref="I4:I5"/>
    <mergeCell ref="B4:B5"/>
    <mergeCell ref="C4:C5"/>
    <mergeCell ref="D4:D5"/>
    <mergeCell ref="E4:E5"/>
    <mergeCell ref="A21:F22"/>
    <mergeCell ref="A24:A25"/>
    <mergeCell ref="B24:B25"/>
    <mergeCell ref="C24:C25"/>
    <mergeCell ref="D24:D25"/>
    <mergeCell ref="E24:E25"/>
    <mergeCell ref="F24:F25"/>
    <mergeCell ref="G24:G25"/>
    <mergeCell ref="H24:H25"/>
    <mergeCell ref="A763:F764"/>
    <mergeCell ref="A766:A767"/>
    <mergeCell ref="B766:B767"/>
    <mergeCell ref="C766:C767"/>
    <mergeCell ref="D766:D767"/>
    <mergeCell ref="E766:E767"/>
    <mergeCell ref="F766:F767"/>
    <mergeCell ref="H4:H5"/>
    <mergeCell ref="A4:A5"/>
    <mergeCell ref="A73:F74"/>
    <mergeCell ref="B76:B77"/>
    <mergeCell ref="C76:C77"/>
    <mergeCell ref="D76:D77"/>
    <mergeCell ref="E76:E77"/>
    <mergeCell ref="F76:F77"/>
    <mergeCell ref="G50:G51"/>
    <mergeCell ref="A48:F49"/>
    <mergeCell ref="G143:G144"/>
    <mergeCell ref="H143:H144"/>
    <mergeCell ref="A140:F141"/>
    <mergeCell ref="G76:G77"/>
    <mergeCell ref="A76:A77"/>
    <mergeCell ref="H76:H77"/>
    <mergeCell ref="A107:F108"/>
    <mergeCell ref="A856:F857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A888:F889"/>
    <mergeCell ref="A891:A892"/>
    <mergeCell ref="B891:B892"/>
    <mergeCell ref="C891:C892"/>
    <mergeCell ref="D891:D892"/>
    <mergeCell ref="E891:E892"/>
    <mergeCell ref="F891:F892"/>
    <mergeCell ref="G891:G892"/>
    <mergeCell ref="H891:H892"/>
    <mergeCell ref="A920:F921"/>
    <mergeCell ref="A923:A924"/>
    <mergeCell ref="B923:B924"/>
    <mergeCell ref="C923:C924"/>
    <mergeCell ref="D923:D924"/>
    <mergeCell ref="E923:E924"/>
    <mergeCell ref="F923:F924"/>
    <mergeCell ref="G923:G924"/>
    <mergeCell ref="H923:H924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Valenzuela Daniel Alejandro</dc:creator>
  <cp:lastModifiedBy>Abanto Leon Carlos</cp:lastModifiedBy>
  <cp:lastPrinted>2014-05-20T20:44:33Z</cp:lastPrinted>
  <dcterms:created xsi:type="dcterms:W3CDTF">2014-05-16T13:44:52Z</dcterms:created>
  <dcterms:modified xsi:type="dcterms:W3CDTF">2015-01-16T18:41:29Z</dcterms:modified>
</cp:coreProperties>
</file>