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 firstSheet="2" activeTab="2"/>
  </bookViews>
  <sheets>
    <sheet name="ESTRUCTURA oil (no)" sheetId="5" state="hidden" r:id="rId1"/>
    <sheet name="ESTRUCTURA gas (no)" sheetId="76" state="hidden" r:id="rId2"/>
    <sheet name="prod. total" sheetId="15292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'prod. total'!$A$3:$M$88</definedName>
  </definedNames>
  <calcPr calcId="145621"/>
</workbook>
</file>

<file path=xl/calcChain.xml><?xml version="1.0" encoding="utf-8"?>
<calcChain xmlns="http://schemas.openxmlformats.org/spreadsheetml/2006/main">
  <c r="B284" i="76" l="1"/>
  <c r="B285" i="76"/>
  <c r="C287" i="5"/>
  <c r="C288" i="5" s="1"/>
  <c r="C289" i="5" s="1"/>
  <c r="P284" i="76"/>
  <c r="AK287" i="5"/>
  <c r="P283" i="76" l="1"/>
  <c r="AK286" i="5"/>
  <c r="B283" i="76"/>
  <c r="C286" i="5"/>
  <c r="B282" i="76" l="1"/>
  <c r="P282" i="76"/>
  <c r="O282" i="76"/>
  <c r="AK285" i="5"/>
  <c r="AJ285" i="5"/>
  <c r="C285" i="5"/>
  <c r="N281" i="76" l="1"/>
  <c r="P281" i="76" s="1"/>
  <c r="B281" i="76"/>
  <c r="AI284" i="5"/>
  <c r="AK284" i="5" s="1"/>
  <c r="C284" i="5"/>
  <c r="N280" i="76" l="1"/>
  <c r="N279" i="76" l="1"/>
  <c r="P279" i="76" l="1"/>
  <c r="N278" i="76"/>
  <c r="AK281" i="5"/>
  <c r="AI281" i="5"/>
  <c r="N277" i="76" l="1"/>
  <c r="AI280" i="5" l="1"/>
  <c r="AI282" i="5"/>
  <c r="AI283" i="5"/>
  <c r="N276" i="76" l="1"/>
  <c r="AI279" i="5"/>
  <c r="N275" i="76" l="1"/>
  <c r="AI272" i="5"/>
  <c r="AI278" i="5"/>
  <c r="N274" i="76" l="1"/>
  <c r="AI277" i="5" l="1"/>
  <c r="AI276" i="5"/>
  <c r="AK278" i="5" l="1"/>
  <c r="AK277" i="5"/>
  <c r="N273" i="76" l="1"/>
  <c r="P274" i="76" s="1"/>
  <c r="AI275" i="5"/>
  <c r="N272" i="76" l="1"/>
  <c r="N271" i="76" l="1"/>
  <c r="AI274" i="5"/>
  <c r="N270" i="76" l="1"/>
  <c r="AK275" i="5"/>
  <c r="AK276" i="5"/>
  <c r="AK279" i="5"/>
  <c r="AK280" i="5"/>
  <c r="AK282" i="5"/>
  <c r="AK283" i="5"/>
  <c r="AJ273" i="5"/>
  <c r="AJ274" i="5" s="1"/>
  <c r="AJ275" i="5" s="1"/>
  <c r="AJ276" i="5" s="1"/>
  <c r="AJ277" i="5" s="1"/>
  <c r="AJ278" i="5" s="1"/>
  <c r="AJ279" i="5" s="1"/>
  <c r="AJ280" i="5" s="1"/>
  <c r="AI273" i="5"/>
  <c r="AK273" i="5" s="1"/>
  <c r="AJ281" i="5" l="1"/>
  <c r="AJ282" i="5" s="1"/>
  <c r="AJ283" i="5" s="1"/>
  <c r="AK274" i="5"/>
  <c r="P271" i="76" l="1"/>
  <c r="P272" i="76"/>
  <c r="P273" i="76"/>
  <c r="P275" i="76"/>
  <c r="P276" i="76"/>
  <c r="P277" i="76"/>
  <c r="P278" i="76"/>
  <c r="P280" i="76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N269" i="76"/>
  <c r="P270" i="76" s="1"/>
  <c r="S271" i="5"/>
  <c r="AI271" i="5" s="1"/>
  <c r="AK271" i="5" s="1"/>
  <c r="N257" i="76"/>
  <c r="N268" i="76"/>
  <c r="P268" i="76" s="1"/>
  <c r="AI270" i="5"/>
  <c r="N267" i="76"/>
  <c r="AI269" i="5"/>
  <c r="AK270" i="5" s="1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N264" i="76"/>
  <c r="N263" i="76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AI266" i="5"/>
  <c r="N262" i="76"/>
  <c r="AI265" i="5"/>
  <c r="AK265" i="5" s="1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/>
  <c r="AJ263" i="5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AK260" i="5" s="1"/>
  <c r="N254" i="76"/>
  <c r="S257" i="5"/>
  <c r="AI257" i="5"/>
  <c r="AK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AI252" i="5" s="1"/>
  <c r="AK253" i="5" s="1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AI251" i="5" s="1"/>
  <c r="AK251" i="5" s="1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AI248" i="5" s="1"/>
  <c r="AK248" i="5" s="1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AI246" i="5" s="1"/>
  <c r="AK246" i="5" s="1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AI244" i="5" s="1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AI243" i="5" s="1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AI242" i="5" s="1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AI241" i="5" s="1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AI240" i="5" s="1"/>
  <c r="AK240" i="5" s="1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AI238" i="5" s="1"/>
  <c r="AK238" i="5" s="1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I228" i="5"/>
  <c r="AI229" i="5"/>
  <c r="AM229" i="5" s="1"/>
  <c r="AI231" i="5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I236" i="5" s="1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N226" i="76"/>
  <c r="Q226" i="76" s="1"/>
  <c r="N227" i="76"/>
  <c r="Q227" i="76" s="1"/>
  <c r="N228" i="76"/>
  <c r="N229" i="76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AI8" i="5" s="1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AI10" i="5" s="1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AI11" i="5" s="1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AI12" i="5" s="1"/>
  <c r="H12" i="5"/>
  <c r="I12" i="5"/>
  <c r="J12" i="5"/>
  <c r="K12" i="5"/>
  <c r="L12" i="5"/>
  <c r="M12" i="5"/>
  <c r="N12" i="5"/>
  <c r="S12" i="5"/>
  <c r="U12" i="5"/>
  <c r="W12" i="5"/>
  <c r="AA12" i="5"/>
  <c r="E13" i="5"/>
  <c r="AI13" i="5" s="1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AI14" i="5" s="1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AI15" i="5" s="1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AI16" i="5" s="1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AI18" i="5" s="1"/>
  <c r="I18" i="5"/>
  <c r="J18" i="5"/>
  <c r="K18" i="5"/>
  <c r="L18" i="5"/>
  <c r="M18" i="5"/>
  <c r="N18" i="5"/>
  <c r="S18" i="5"/>
  <c r="U18" i="5"/>
  <c r="W18" i="5"/>
  <c r="AA18" i="5"/>
  <c r="E19" i="5"/>
  <c r="AI19" i="5" s="1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/>
  <c r="AI42" i="5"/>
  <c r="AI43" i="5"/>
  <c r="AA48" i="5"/>
  <c r="AA49" i="5"/>
  <c r="AA50" i="5"/>
  <c r="AA52" i="5"/>
  <c r="AA53" i="5"/>
  <c r="AA54" i="5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A63" i="5"/>
  <c r="AA64" i="5"/>
  <c r="AA65" i="5"/>
  <c r="AA66" i="5"/>
  <c r="AI66" i="5"/>
  <c r="AA67" i="5"/>
  <c r="AI67" i="5" s="1"/>
  <c r="AA68" i="5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I70" i="5" s="1"/>
  <c r="AC70" i="5"/>
  <c r="AA71" i="5"/>
  <c r="AI71" i="5" s="1"/>
  <c r="AC71" i="5"/>
  <c r="AA72" i="5"/>
  <c r="AC72" i="5"/>
  <c r="AA73" i="5"/>
  <c r="AC73" i="5"/>
  <c r="AI73" i="5" s="1"/>
  <c r="AA74" i="5"/>
  <c r="AC74" i="5"/>
  <c r="AA75" i="5"/>
  <c r="AA76" i="5"/>
  <c r="AC76" i="5"/>
  <c r="AA77" i="5"/>
  <c r="AC77" i="5"/>
  <c r="AA78" i="5"/>
  <c r="AI78" i="5" s="1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K98" i="5"/>
  <c r="AL98" i="5" s="1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A125" i="5"/>
  <c r="AI125" i="5"/>
  <c r="AA126" i="5"/>
  <c r="AI126" i="5" s="1"/>
  <c r="AA127" i="5"/>
  <c r="AI127" i="5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AI159" i="5" s="1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AI165" i="5" s="1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AI169" i="5" s="1"/>
  <c r="G169" i="5"/>
  <c r="H169" i="5"/>
  <c r="J169" i="5"/>
  <c r="M169" i="5"/>
  <c r="S169" i="5"/>
  <c r="U169" i="5"/>
  <c r="W169" i="5"/>
  <c r="X169" i="5"/>
  <c r="AC169" i="5"/>
  <c r="E170" i="5"/>
  <c r="H170" i="5"/>
  <c r="AI170" i="5" s="1"/>
  <c r="J170" i="5"/>
  <c r="M170" i="5"/>
  <c r="S170" i="5"/>
  <c r="U170" i="5"/>
  <c r="W170" i="5"/>
  <c r="X170" i="5"/>
  <c r="AC170" i="5"/>
  <c r="E171" i="5"/>
  <c r="H171" i="5"/>
  <c r="AI171" i="5" s="1"/>
  <c r="J171" i="5"/>
  <c r="M171" i="5"/>
  <c r="S171" i="5"/>
  <c r="U171" i="5"/>
  <c r="W171" i="5"/>
  <c r="X171" i="5"/>
  <c r="AC171" i="5"/>
  <c r="E172" i="5"/>
  <c r="AI172" i="5" s="1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AI174" i="5" s="1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AI175" i="5" s="1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AI176" i="5" s="1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AI177" i="5" s="1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AI178" i="5" s="1"/>
  <c r="O178" i="5"/>
  <c r="S178" i="5"/>
  <c r="U178" i="5"/>
  <c r="W178" i="5"/>
  <c r="X178" i="5"/>
  <c r="AC178" i="5"/>
  <c r="E179" i="5"/>
  <c r="AI179" i="5" s="1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AI180" i="5" s="1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AI181" i="5" s="1"/>
  <c r="O181" i="5"/>
  <c r="Q181" i="5"/>
  <c r="R181" i="5"/>
  <c r="S181" i="5"/>
  <c r="T181" i="5"/>
  <c r="U181" i="5"/>
  <c r="W181" i="5"/>
  <c r="X181" i="5"/>
  <c r="AC181" i="5"/>
  <c r="E182" i="5"/>
  <c r="G182" i="5"/>
  <c r="AI182" i="5" s="1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AI183" i="5" s="1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AI184" i="5" s="1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AI188" i="5" s="1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AI191" i="5" s="1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AI192" i="5" s="1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AI193" i="5" s="1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AI194" i="5" s="1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AI195" i="5" s="1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AI196" i="5" s="1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AI197" i="5" s="1"/>
  <c r="J197" i="5"/>
  <c r="M197" i="5"/>
  <c r="O197" i="5"/>
  <c r="S197" i="5"/>
  <c r="T197" i="5"/>
  <c r="U197" i="5"/>
  <c r="W197" i="5"/>
  <c r="X197" i="5"/>
  <c r="Y197" i="5"/>
  <c r="AA197" i="5"/>
  <c r="AC197" i="5"/>
  <c r="G198" i="5"/>
  <c r="AI198" i="5" s="1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AI199" i="5" s="1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AI201" i="5" s="1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G202" i="5"/>
  <c r="AI202" i="5" s="1"/>
  <c r="J202" i="5"/>
  <c r="M202" i="5"/>
  <c r="O202" i="5"/>
  <c r="S202" i="5"/>
  <c r="T202" i="5"/>
  <c r="U202" i="5"/>
  <c r="W202" i="5"/>
  <c r="X202" i="5"/>
  <c r="Y202" i="5"/>
  <c r="AC202" i="5"/>
  <c r="AJ202" i="5"/>
  <c r="AJ203" i="5"/>
  <c r="AJ204" i="5" s="1"/>
  <c r="AJ205" i="5" s="1"/>
  <c r="AJ206" i="5" s="1"/>
  <c r="AJ207" i="5" s="1"/>
  <c r="AJ208" i="5" s="1"/>
  <c r="AJ209" i="5" s="1"/>
  <c r="AJ210" i="5" s="1"/>
  <c r="AJ211" i="5" s="1"/>
  <c r="E203" i="5"/>
  <c r="AI203" i="5" s="1"/>
  <c r="G203" i="5"/>
  <c r="J203" i="5"/>
  <c r="M203" i="5"/>
  <c r="O203" i="5"/>
  <c r="S203" i="5"/>
  <c r="T203" i="5"/>
  <c r="U203" i="5"/>
  <c r="W203" i="5"/>
  <c r="X203" i="5"/>
  <c r="Y203" i="5"/>
  <c r="AC203" i="5"/>
  <c r="G204" i="5"/>
  <c r="AI204" i="5" s="1"/>
  <c r="J204" i="5"/>
  <c r="M204" i="5"/>
  <c r="O204" i="5"/>
  <c r="S204" i="5"/>
  <c r="T204" i="5"/>
  <c r="U204" i="5"/>
  <c r="W204" i="5"/>
  <c r="X204" i="5"/>
  <c r="Y204" i="5"/>
  <c r="AC204" i="5"/>
  <c r="E205" i="5"/>
  <c r="AI205" i="5" s="1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AI206" i="5" s="1"/>
  <c r="O206" i="5"/>
  <c r="S206" i="5"/>
  <c r="T206" i="5"/>
  <c r="U206" i="5"/>
  <c r="W206" i="5"/>
  <c r="X206" i="5"/>
  <c r="Y206" i="5"/>
  <c r="AC206" i="5"/>
  <c r="F207" i="5"/>
  <c r="G207" i="5"/>
  <c r="H207" i="5"/>
  <c r="AI207" i="5" s="1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AI208" i="5" s="1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AI210" i="5" s="1"/>
  <c r="G210" i="5"/>
  <c r="J210" i="5"/>
  <c r="M210" i="5"/>
  <c r="O210" i="5"/>
  <c r="S210" i="5"/>
  <c r="T210" i="5"/>
  <c r="U210" i="5"/>
  <c r="W210" i="5"/>
  <c r="X210" i="5"/>
  <c r="Y210" i="5"/>
  <c r="AC210" i="5"/>
  <c r="E212" i="5"/>
  <c r="AI212" i="5" s="1"/>
  <c r="G212" i="5"/>
  <c r="J212" i="5"/>
  <c r="M212" i="5"/>
  <c r="O212" i="5"/>
  <c r="S212" i="5"/>
  <c r="T212" i="5"/>
  <c r="U212" i="5"/>
  <c r="W212" i="5"/>
  <c r="X212" i="5"/>
  <c r="Y212" i="5"/>
  <c r="AC212" i="5"/>
  <c r="G213" i="5"/>
  <c r="AI213" i="5" s="1"/>
  <c r="AK214" i="5" s="1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AI215" i="5" s="1"/>
  <c r="AK215" i="5" s="1"/>
  <c r="M215" i="5"/>
  <c r="O215" i="5"/>
  <c r="S215" i="5"/>
  <c r="T215" i="5"/>
  <c r="U215" i="5"/>
  <c r="W215" i="5"/>
  <c r="X215" i="5"/>
  <c r="Y215" i="5"/>
  <c r="AC215" i="5"/>
  <c r="M216" i="5"/>
  <c r="U216" i="5"/>
  <c r="W216" i="5"/>
  <c r="AI216" i="5" s="1"/>
  <c r="AK217" i="5" s="1"/>
  <c r="X216" i="5"/>
  <c r="Y216" i="5"/>
  <c r="AC216" i="5"/>
  <c r="G217" i="5"/>
  <c r="AI217" i="5" s="1"/>
  <c r="AM217" i="5" s="1"/>
  <c r="J217" i="5"/>
  <c r="M217" i="5"/>
  <c r="O217" i="5"/>
  <c r="S217" i="5"/>
  <c r="T217" i="5"/>
  <c r="U217" i="5"/>
  <c r="W217" i="5"/>
  <c r="X217" i="5"/>
  <c r="Y217" i="5"/>
  <c r="AC217" i="5"/>
  <c r="G218" i="5"/>
  <c r="AI218" i="5" s="1"/>
  <c r="AM218" i="5" s="1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AM224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AI226" i="5" s="1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AM228" i="5"/>
  <c r="AK229" i="5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Q229" i="76"/>
  <c r="AM231" i="5"/>
  <c r="N235" i="76"/>
  <c r="P235" i="76" s="1"/>
  <c r="AI239" i="5"/>
  <c r="AK239" i="5" s="1"/>
  <c r="AI247" i="5"/>
  <c r="AM146" i="5"/>
  <c r="AN146" i="5" s="1"/>
  <c r="AI250" i="5"/>
  <c r="AK254" i="5"/>
  <c r="AK259" i="5"/>
  <c r="AI75" i="5"/>
  <c r="AI124" i="5"/>
  <c r="AI68" i="5"/>
  <c r="AI9" i="5"/>
  <c r="Q225" i="76"/>
  <c r="P258" i="76"/>
  <c r="P259" i="76"/>
  <c r="P253" i="76"/>
  <c r="P232" i="76"/>
  <c r="N248" i="76"/>
  <c r="P249" i="76" s="1"/>
  <c r="N171" i="76"/>
  <c r="N165" i="76"/>
  <c r="P228" i="76"/>
  <c r="P255" i="76"/>
  <c r="N236" i="76"/>
  <c r="P236" i="76" s="1"/>
  <c r="N214" i="76"/>
  <c r="P214" i="76" s="1"/>
  <c r="N168" i="76"/>
  <c r="N242" i="76"/>
  <c r="N243" i="76"/>
  <c r="N244" i="76"/>
  <c r="P244" i="76"/>
  <c r="N249" i="76"/>
  <c r="P250" i="76" s="1"/>
  <c r="P252" i="76"/>
  <c r="N197" i="76"/>
  <c r="N173" i="76"/>
  <c r="N169" i="76"/>
  <c r="N208" i="76"/>
  <c r="P209" i="76" s="1"/>
  <c r="N202" i="76"/>
  <c r="N198" i="76"/>
  <c r="N174" i="76"/>
  <c r="N203" i="76"/>
  <c r="N233" i="76"/>
  <c r="P233" i="76" s="1"/>
  <c r="N237" i="76"/>
  <c r="N239" i="76"/>
  <c r="N246" i="76"/>
  <c r="N217" i="76"/>
  <c r="Q217" i="76" s="1"/>
  <c r="N211" i="76"/>
  <c r="N206" i="76"/>
  <c r="P206" i="76" s="1"/>
  <c r="N205" i="76"/>
  <c r="N194" i="76"/>
  <c r="N190" i="76"/>
  <c r="N185" i="76"/>
  <c r="N181" i="76"/>
  <c r="N177" i="76"/>
  <c r="N167" i="76"/>
  <c r="N166" i="76"/>
  <c r="N238" i="76"/>
  <c r="N240" i="76"/>
  <c r="P240" i="76" s="1"/>
  <c r="N245" i="76"/>
  <c r="N247" i="76"/>
  <c r="P251" i="76"/>
  <c r="N223" i="76"/>
  <c r="Q223" i="76" s="1"/>
  <c r="N222" i="76"/>
  <c r="Q222" i="76" s="1"/>
  <c r="N218" i="76"/>
  <c r="Q218" i="76" s="1"/>
  <c r="N195" i="76"/>
  <c r="N191" i="76"/>
  <c r="N186" i="76"/>
  <c r="N182" i="76"/>
  <c r="N178" i="76"/>
  <c r="N219" i="76"/>
  <c r="Q219" i="76" s="1"/>
  <c r="N210" i="76"/>
  <c r="P210" i="76" s="1"/>
  <c r="N207" i="76"/>
  <c r="P207" i="76" s="1"/>
  <c r="N201" i="76"/>
  <c r="N199" i="76"/>
  <c r="N196" i="76"/>
  <c r="N192" i="76"/>
  <c r="N187" i="76"/>
  <c r="N183" i="76"/>
  <c r="N179" i="76"/>
  <c r="N175" i="76"/>
  <c r="N170" i="76"/>
  <c r="N234" i="76"/>
  <c r="P234" i="76" s="1"/>
  <c r="N241" i="76"/>
  <c r="P254" i="76"/>
  <c r="P256" i="76"/>
  <c r="P221" i="76"/>
  <c r="N215" i="76"/>
  <c r="P215" i="76" s="1"/>
  <c r="N204" i="76"/>
  <c r="N200" i="76"/>
  <c r="N193" i="76"/>
  <c r="N189" i="76"/>
  <c r="N188" i="76"/>
  <c r="N184" i="76"/>
  <c r="N180" i="76"/>
  <c r="N176" i="76"/>
  <c r="N172" i="76"/>
  <c r="P223" i="76"/>
  <c r="AI17" i="5"/>
  <c r="AK263" i="5"/>
  <c r="P208" i="76"/>
  <c r="P238" i="76"/>
  <c r="N212" i="76"/>
  <c r="P213" i="76" s="1"/>
  <c r="P245" i="76"/>
  <c r="P239" i="76"/>
  <c r="P241" i="76"/>
  <c r="P222" i="76"/>
  <c r="P220" i="76"/>
  <c r="P248" i="76"/>
  <c r="P227" i="76"/>
  <c r="P242" i="76"/>
  <c r="P237" i="76"/>
  <c r="P229" i="76"/>
  <c r="P261" i="76"/>
  <c r="P246" i="76"/>
  <c r="N230" i="76"/>
  <c r="P230" i="76" s="1"/>
  <c r="N216" i="76"/>
  <c r="N224" i="76"/>
  <c r="Q224" i="76" s="1"/>
  <c r="P211" i="76"/>
  <c r="P247" i="76"/>
  <c r="P226" i="76"/>
  <c r="P262" i="76"/>
  <c r="Q228" i="76"/>
  <c r="AI214" i="5"/>
  <c r="AI166" i="5"/>
  <c r="AI185" i="5"/>
  <c r="AI173" i="5"/>
  <c r="AI63" i="5"/>
  <c r="AK264" i="5"/>
  <c r="AK261" i="5"/>
  <c r="Q216" i="76"/>
  <c r="P231" i="76"/>
  <c r="P216" i="76"/>
  <c r="AI219" i="5"/>
  <c r="AK219" i="5" s="1"/>
  <c r="AI62" i="5"/>
  <c r="AI267" i="5"/>
  <c r="AK267" i="5" s="1"/>
  <c r="AI54" i="5"/>
  <c r="AI168" i="5"/>
  <c r="AI225" i="5"/>
  <c r="AK225" i="5" s="1"/>
  <c r="AI186" i="5"/>
  <c r="AI237" i="5"/>
  <c r="AK255" i="5"/>
  <c r="AK262" i="5"/>
  <c r="AI209" i="5"/>
  <c r="AI167" i="5"/>
  <c r="AI222" i="5"/>
  <c r="AI221" i="5"/>
  <c r="AM221" i="5" s="1"/>
  <c r="AI245" i="5"/>
  <c r="AI249" i="5"/>
  <c r="AK250" i="5" s="1"/>
  <c r="AK272" i="5"/>
  <c r="P260" i="76" l="1"/>
  <c r="P265" i="76"/>
  <c r="P266" i="76"/>
  <c r="P257" i="76"/>
  <c r="P212" i="76"/>
  <c r="P219" i="76"/>
  <c r="P218" i="76"/>
  <c r="P217" i="76"/>
  <c r="P243" i="76"/>
  <c r="P263" i="76"/>
  <c r="P267" i="76"/>
  <c r="AK236" i="5"/>
  <c r="AK237" i="5"/>
  <c r="AK241" i="5"/>
  <c r="AK242" i="5"/>
  <c r="AJ19" i="5"/>
  <c r="AK243" i="5"/>
  <c r="AK244" i="5"/>
  <c r="AK245" i="5"/>
  <c r="AK226" i="5"/>
  <c r="AM226" i="5"/>
  <c r="AK222" i="5"/>
  <c r="AK249" i="5"/>
  <c r="AK258" i="5"/>
  <c r="AI233" i="5"/>
  <c r="AK224" i="5"/>
  <c r="AI220" i="5"/>
  <c r="AI200" i="5"/>
  <c r="AI190" i="5"/>
  <c r="AM219" i="5"/>
  <c r="AK266" i="5"/>
  <c r="AI232" i="5"/>
  <c r="AK233" i="5" s="1"/>
  <c r="AK269" i="5"/>
  <c r="AK247" i="5"/>
  <c r="AI189" i="5"/>
  <c r="AI187" i="5"/>
  <c r="AK256" i="5"/>
  <c r="AM233" i="5"/>
  <c r="AK220" i="5"/>
  <c r="AM220" i="5"/>
  <c r="AK221" i="5"/>
  <c r="AK230" i="5"/>
  <c r="AK231" i="5"/>
  <c r="AM230" i="5"/>
  <c r="AK228" i="5"/>
  <c r="AM227" i="5"/>
  <c r="AK227" i="5"/>
  <c r="AK232" i="5"/>
  <c r="AM234" i="5"/>
  <c r="AK235" i="5"/>
  <c r="AK234" i="5"/>
  <c r="AM222" i="5"/>
  <c r="AK252" i="5"/>
  <c r="AK216" i="5"/>
  <c r="AM225" i="5"/>
  <c r="AK218" i="5"/>
  <c r="AK223" i="5"/>
  <c r="AK268" i="5"/>
  <c r="P269" i="76"/>
  <c r="P224" i="76"/>
  <c r="P264" i="76"/>
  <c r="P225" i="76"/>
  <c r="AM232" i="5" l="1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<sst xmlns="http://schemas.openxmlformats.org/spreadsheetml/2006/main" count="82" uniqueCount="71">
  <si>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</si>
  <si>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</si>
  <si>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</si>
  <si>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</si>
  <si>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</si>
  <si>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</si>
  <si>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</si>
  <si>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</si>
  <si>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</si>
  <si>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</si>
  <si>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</si>
  <si>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</si>
  <si>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</si>
  <si>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</si>
  <si>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</si>
  <si>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</si>
  <si>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</si>
  <si>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</si>
  <si>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</si>
  <si>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</si>
  <si>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</si>
  <si>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</si>
  <si>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</si>
  <si>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</si>
  <si>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</si>
  <si>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</si>
  <si>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</si>
  <si>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</si>
  <si>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</si>
  <si>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</si>
  <si>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</si>
  <si>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</si>
  <si>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</si>
  <si>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</si>
  <si>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</si>
  <si>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</si>
  <si>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</si>
  <si>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</si>
  <si>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</si>
  <si>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</si>
  <si>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</si>
  <si>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</si>
  <si>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</si>
  <si>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</si>
  <si>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</si>
  <si>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</si>
  <si>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</si>
  <si>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</si>
  <si>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</si>
  <si>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</si>
  <si>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</si>
  <si>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</si>
  <si>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</si>
  <si>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</si>
  <si>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</si>
  <si>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</si>
  <si>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</si>
  <si>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</si>
  <si>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</si>
  <si>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</si>
  <si>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</si>
  <si>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</si>
  <si>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</si>
  <si>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</si>
  <si>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</si>
  <si>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</si>
  <si>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más Líquidos de Gas Natural (LGN).</t>
  </si>
  <si>
    <t>|</t>
  </si>
  <si>
    <t>PRODUCCIÓN FISCALIZADA PROMEDIO DE HIDROCARBUROS
AL 30 DE ABRIL 2017</t>
  </si>
  <si>
    <r>
      <t xml:space="preserve">COMENTARIOS:
</t>
    </r>
    <r>
      <rPr>
        <sz val="10"/>
        <color indexed="62"/>
        <rFont val="Arial"/>
        <family val="2"/>
      </rPr>
      <t xml:space="preserve">• El promedio de la producción fiscalizada de Hidrocarburos Líquidos de abril 2017 fue de 128 929 Bpd, menor en 5 341 Bpd respecto al  mes anterior. 
• El Lote 67 no registra producción desde el 01.06.2016, por falta de disponibilidad de tanques en Saramuro debido al mantenimiento del Oleoducto Nor-Peruano.
</t>
    </r>
  </si>
  <si>
    <r>
      <t xml:space="preserve">COMENTARIO:
</t>
    </r>
    <r>
      <rPr>
        <b/>
        <sz val="10"/>
        <color theme="3"/>
        <rFont val="Arial"/>
        <family val="2"/>
      </rPr>
      <t xml:space="preserve">• </t>
    </r>
    <r>
      <rPr>
        <sz val="10"/>
        <color indexed="62"/>
        <rFont val="Arial"/>
        <family val="2"/>
      </rPr>
      <t>El promedio de la producción fiscalizada de Gas Natural de abril 2017 fue de 1 143 MMPCD, menor en 62 MMPCD comparado con el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</si>
</sst>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73" formatCode="_-* #,##0\ _S_/_._-;\-* #,##0\ _S_/_._-;_-* &quot;-&quot;??\ _S_/_._-;_-@_-"/>
    <numFmt numFmtId="176" formatCode="0.000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9.5"/>
      <name val="Arial"/>
      <family val="2"/>
    </font>
    <font>
      <sz val="10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6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3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2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2" fillId="0" borderId="0" xfId="0" applyFont="1" applyFill="1"/>
    <xf numFmtId="3" fontId="12" fillId="0" borderId="4" xfId="0" applyNumberFormat="1" applyFont="1" applyFill="1" applyBorder="1"/>
    <xf numFmtId="3" fontId="0" fillId="2" borderId="4" xfId="0" applyNumberFormat="1" applyFill="1" applyBorder="1"/>
    <xf numFmtId="3" fontId="12" fillId="0" borderId="1" xfId="0" applyNumberFormat="1" applyFont="1" applyFill="1" applyBorder="1"/>
    <xf numFmtId="3" fontId="0" fillId="2" borderId="1" xfId="0" applyNumberFormat="1" applyFill="1" applyBorder="1"/>
    <xf numFmtId="3" fontId="12" fillId="0" borderId="2" xfId="0" applyNumberFormat="1" applyFont="1" applyFill="1" applyBorder="1"/>
    <xf numFmtId="3" fontId="0" fillId="2" borderId="2" xfId="0" applyNumberFormat="1" applyFill="1" applyBorder="1"/>
    <xf numFmtId="3" fontId="12" fillId="0" borderId="7" xfId="0" applyNumberFormat="1" applyFont="1" applyFill="1" applyBorder="1"/>
    <xf numFmtId="3" fontId="0" fillId="2" borderId="7" xfId="0" applyNumberFormat="1" applyFill="1" applyBorder="1"/>
    <xf numFmtId="3" fontId="12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3" fillId="0" borderId="7" xfId="0" applyNumberFormat="1" applyFont="1" applyFill="1" applyBorder="1"/>
    <xf numFmtId="3" fontId="13" fillId="0" borderId="1" xfId="0" applyNumberFormat="1" applyFont="1" applyFill="1" applyBorder="1"/>
    <xf numFmtId="3" fontId="11" fillId="0" borderId="1" xfId="0" applyNumberFormat="1" applyFont="1" applyFill="1" applyBorder="1"/>
    <xf numFmtId="3" fontId="11" fillId="0" borderId="8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3" fontId="1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173" fontId="11" fillId="0" borderId="0" xfId="1" applyNumberFormat="1" applyFont="1" applyFill="1"/>
    <xf numFmtId="4" fontId="0" fillId="0" borderId="0" xfId="0" applyNumberFormat="1" applyFill="1"/>
    <xf numFmtId="3" fontId="11" fillId="0" borderId="0" xfId="1" applyNumberFormat="1" applyFont="1" applyFill="1" applyAlignment="1">
      <alignment horizontal="center"/>
    </xf>
    <xf numFmtId="4" fontId="11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2" fillId="0" borderId="0" xfId="0" applyNumberFormat="1" applyFont="1"/>
    <xf numFmtId="1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176" fontId="0" fillId="0" borderId="0" xfId="0" applyNumberFormat="1"/>
    <xf numFmtId="3" fontId="1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4" xfId="0" applyNumberFormat="1" applyFill="1" applyBorder="1"/>
    <xf numFmtId="3" fontId="0" fillId="0" borderId="20" xfId="0" applyNumberFormat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7" fontId="0" fillId="6" borderId="21" xfId="0" applyNumberFormat="1" applyFill="1" applyBorder="1"/>
    <xf numFmtId="3" fontId="2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0" xfId="0" applyNumberForma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/>
    </xf>
    <xf numFmtId="0" fontId="0" fillId="6" borderId="0" xfId="0" applyFill="1"/>
    <xf numFmtId="17" fontId="0" fillId="6" borderId="1" xfId="0" applyNumberFormat="1" applyFill="1" applyBorder="1"/>
    <xf numFmtId="3" fontId="0" fillId="5" borderId="0" xfId="0" applyNumberFormat="1" applyFill="1" applyAlignment="1"/>
    <xf numFmtId="1" fontId="0" fillId="5" borderId="0" xfId="0" applyNumberFormat="1" applyFill="1"/>
    <xf numFmtId="0" fontId="0" fillId="5" borderId="0" xfId="0" applyFill="1"/>
    <xf numFmtId="17" fontId="9" fillId="5" borderId="1" xfId="0" applyNumberFormat="1" applyFont="1" applyFill="1" applyBorder="1"/>
    <xf numFmtId="3" fontId="0" fillId="5" borderId="0" xfId="0" applyNumberFormat="1" applyFill="1" applyBorder="1"/>
    <xf numFmtId="3" fontId="0" fillId="5" borderId="0" xfId="0" applyNumberFormat="1" applyFill="1"/>
    <xf numFmtId="0" fontId="1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0" fillId="5" borderId="0" xfId="0" applyFill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17" fontId="0" fillId="5" borderId="1" xfId="0" applyNumberFormat="1" applyFill="1" applyBorder="1"/>
    <xf numFmtId="3" fontId="0" fillId="5" borderId="1" xfId="0" applyNumberFormat="1" applyFill="1" applyBorder="1"/>
    <xf numFmtId="166" fontId="0" fillId="5" borderId="0" xfId="0" applyNumberFormat="1" applyFill="1"/>
    <xf numFmtId="3" fontId="26" fillId="5" borderId="1" xfId="2" applyNumberFormat="1" applyFont="1" applyFill="1" applyBorder="1"/>
    <xf numFmtId="3" fontId="11" fillId="5" borderId="1" xfId="0" applyNumberFormat="1" applyFont="1" applyFill="1" applyBorder="1"/>
    <xf numFmtId="17" fontId="0" fillId="5" borderId="21" xfId="0" applyNumberFormat="1" applyFill="1" applyBorder="1"/>
    <xf numFmtId="3" fontId="15" fillId="5" borderId="1" xfId="0" applyNumberFormat="1" applyFont="1" applyFill="1" applyBorder="1"/>
    <xf numFmtId="17" fontId="0" fillId="5" borderId="0" xfId="0" applyNumberFormat="1" applyFill="1" applyBorder="1"/>
    <xf numFmtId="3" fontId="11" fillId="5" borderId="0" xfId="0" applyNumberFormat="1" applyFont="1" applyFill="1"/>
    <xf numFmtId="0" fontId="0" fillId="5" borderId="1" xfId="0" applyFill="1" applyBorder="1"/>
    <xf numFmtId="1" fontId="0" fillId="5" borderId="1" xfId="0" applyNumberFormat="1" applyFill="1" applyBorder="1"/>
    <xf numFmtId="167" fontId="0" fillId="5" borderId="1" xfId="0" applyNumberFormat="1" applyFill="1" applyBorder="1"/>
    <xf numFmtId="3" fontId="0" fillId="5" borderId="1" xfId="0" applyNumberFormat="1" applyFill="1" applyBorder="1" applyAlignment="1">
      <alignment horizontal="right"/>
    </xf>
    <xf numFmtId="3" fontId="0" fillId="5" borderId="0" xfId="0" applyNumberFormat="1" applyFill="1" applyAlignment="1">
      <alignment vertical="center"/>
    </xf>
    <xf numFmtId="168" fontId="0" fillId="5" borderId="1" xfId="0" applyNumberFormat="1" applyFill="1" applyBorder="1"/>
    <xf numFmtId="3" fontId="2" fillId="5" borderId="1" xfId="0" applyNumberFormat="1" applyFont="1" applyFill="1" applyBorder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3" fontId="0" fillId="5" borderId="18" xfId="0" applyNumberFormat="1" applyFill="1" applyBorder="1"/>
    <xf numFmtId="3" fontId="0" fillId="5" borderId="7" xfId="0" applyNumberFormat="1" applyFill="1" applyBorder="1"/>
    <xf numFmtId="3" fontId="0" fillId="5" borderId="22" xfId="0" applyNumberFormat="1" applyFill="1" applyBorder="1"/>
    <xf numFmtId="17" fontId="0" fillId="5" borderId="13" xfId="0" applyNumberFormat="1" applyFill="1" applyBorder="1"/>
    <xf numFmtId="3" fontId="0" fillId="5" borderId="19" xfId="0" applyNumberFormat="1" applyFill="1" applyBorder="1"/>
    <xf numFmtId="1" fontId="0" fillId="5" borderId="1" xfId="0" applyNumberFormat="1" applyFill="1" applyBorder="1" applyAlignment="1"/>
    <xf numFmtId="1" fontId="2" fillId="5" borderId="1" xfId="0" applyNumberFormat="1" applyFont="1" applyFill="1" applyBorder="1" applyAlignment="1"/>
    <xf numFmtId="17" fontId="9" fillId="5" borderId="2" xfId="0" applyNumberFormat="1" applyFont="1" applyFill="1" applyBorder="1"/>
    <xf numFmtId="17" fontId="9" fillId="7" borderId="1" xfId="0" applyNumberFormat="1" applyFont="1" applyFill="1" applyBorder="1"/>
    <xf numFmtId="4" fontId="0" fillId="5" borderId="1" xfId="0" applyNumberFormat="1" applyFill="1" applyBorder="1"/>
    <xf numFmtId="4" fontId="0" fillId="5" borderId="1" xfId="0" applyNumberFormat="1" applyFill="1" applyBorder="1" applyAlignment="1"/>
    <xf numFmtId="4" fontId="2" fillId="5" borderId="1" xfId="0" applyNumberFormat="1" applyFont="1" applyFill="1" applyBorder="1"/>
    <xf numFmtId="4" fontId="0" fillId="5" borderId="2" xfId="0" applyNumberFormat="1" applyFill="1" applyBorder="1"/>
    <xf numFmtId="4" fontId="0" fillId="5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6" borderId="2" xfId="0" applyNumberFormat="1" applyFill="1" applyBorder="1"/>
    <xf numFmtId="3" fontId="2" fillId="6" borderId="2" xfId="0" applyNumberFormat="1" applyFont="1" applyFill="1" applyBorder="1" applyAlignment="1">
      <alignment horizontal="center"/>
    </xf>
    <xf numFmtId="2" fontId="0" fillId="5" borderId="0" xfId="0" applyNumberFormat="1" applyFill="1"/>
    <xf numFmtId="2" fontId="0" fillId="5" borderId="0" xfId="0" applyNumberFormat="1" applyFill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7" fillId="10" borderId="1" xfId="0" applyNumberFormat="1" applyFont="1" applyFill="1" applyBorder="1" applyAlignment="1">
      <alignment horizontal="center"/>
    </xf>
    <xf numFmtId="3" fontId="11" fillId="10" borderId="15" xfId="0" applyNumberFormat="1" applyFont="1" applyFill="1" applyBorder="1" applyAlignment="1">
      <alignment horizontal="center"/>
    </xf>
    <xf numFmtId="0" fontId="0" fillId="10" borderId="0" xfId="0" applyFill="1"/>
    <xf numFmtId="0" fontId="0" fillId="6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11" fillId="5" borderId="0" xfId="0" applyFont="1" applyFill="1"/>
    <xf numFmtId="17" fontId="0" fillId="10" borderId="2" xfId="0" applyNumberFormat="1" applyFill="1" applyBorder="1"/>
    <xf numFmtId="3" fontId="27" fillId="10" borderId="2" xfId="0" applyNumberFormat="1" applyFont="1" applyFill="1" applyBorder="1" applyAlignment="1">
      <alignment horizontal="center"/>
    </xf>
    <xf numFmtId="3" fontId="11" fillId="10" borderId="23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22" fillId="5" borderId="0" xfId="0" applyFont="1" applyFill="1"/>
    <xf numFmtId="4" fontId="19" fillId="5" borderId="0" xfId="0" applyNumberFormat="1" applyFont="1" applyFill="1" applyBorder="1" applyAlignment="1">
      <alignment horizontal="justify" vertical="top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7" fillId="5" borderId="0" xfId="0" applyFont="1" applyFill="1"/>
    <xf numFmtId="0" fontId="0" fillId="5" borderId="0" xfId="0" applyFill="1" applyBorder="1" applyAlignment="1"/>
    <xf numFmtId="3" fontId="7" fillId="5" borderId="0" xfId="0" applyNumberFormat="1" applyFont="1" applyFill="1"/>
    <xf numFmtId="3" fontId="27" fillId="12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1" fillId="5" borderId="0" xfId="0" applyFont="1" applyFill="1" applyAlignment="1"/>
    <xf numFmtId="0" fontId="18" fillId="5" borderId="0" xfId="0" applyFont="1" applyFill="1" applyAlignment="1"/>
    <xf numFmtId="0" fontId="20" fillId="5" borderId="0" xfId="0" applyFont="1" applyFill="1" applyAlignment="1"/>
    <xf numFmtId="3" fontId="9" fillId="5" borderId="0" xfId="0" applyNumberFormat="1" applyFont="1" applyFill="1"/>
    <xf numFmtId="2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/>
    <xf numFmtId="4" fontId="0" fillId="8" borderId="1" xfId="0" applyNumberFormat="1" applyFill="1" applyBorder="1"/>
    <xf numFmtId="4" fontId="2" fillId="8" borderId="1" xfId="0" quotePrefix="1" applyNumberFormat="1" applyFont="1" applyFill="1" applyBorder="1" applyAlignment="1">
      <alignment horizontal="center"/>
    </xf>
    <xf numFmtId="3" fontId="0" fillId="8" borderId="1" xfId="0" applyNumberFormat="1" applyFill="1" applyBorder="1"/>
    <xf numFmtId="3" fontId="0" fillId="8" borderId="0" xfId="0" applyNumberFormat="1" applyFill="1"/>
    <xf numFmtId="0" fontId="0" fillId="8" borderId="0" xfId="0" applyFill="1"/>
    <xf numFmtId="0" fontId="0" fillId="8" borderId="1" xfId="0" applyFill="1" applyBorder="1"/>
    <xf numFmtId="3" fontId="0" fillId="8" borderId="0" xfId="0" applyNumberFormat="1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 applyAlignment="1">
      <alignment horizontal="right"/>
    </xf>
    <xf numFmtId="4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3" fontId="0" fillId="8" borderId="1" xfId="0" applyNumberFormat="1" applyFill="1" applyBorder="1" applyAlignment="1">
      <alignment horizontal="right"/>
    </xf>
    <xf numFmtId="0" fontId="0" fillId="8" borderId="0" xfId="0" applyFill="1" applyAlignment="1">
      <alignment horizontal="right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4" fontId="2" fillId="8" borderId="1" xfId="0" quotePrefix="1" applyNumberFormat="1" applyFont="1" applyFill="1" applyBorder="1" applyAlignment="1">
      <alignment horizontal="right"/>
    </xf>
    <xf numFmtId="4" fontId="0" fillId="8" borderId="21" xfId="0" applyNumberFormat="1" applyFill="1" applyBorder="1" applyAlignment="1"/>
    <xf numFmtId="4" fontId="0" fillId="8" borderId="15" xfId="0" applyNumberFormat="1" applyFill="1" applyBorder="1" applyAlignment="1"/>
    <xf numFmtId="3" fontId="2" fillId="12" borderId="1" xfId="0" applyNumberFormat="1" applyFon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17" fontId="0" fillId="12" borderId="1" xfId="0" applyNumberFormat="1" applyFill="1" applyBorder="1"/>
    <xf numFmtId="3" fontId="27" fillId="6" borderId="1" xfId="0" applyNumberFormat="1" applyFont="1" applyFill="1" applyBorder="1" applyAlignment="1">
      <alignment horizontal="center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0" fontId="18" fillId="5" borderId="0" xfId="0" applyFont="1" applyFill="1" applyBorder="1" applyAlignment="1"/>
    <xf numFmtId="2" fontId="0" fillId="9" borderId="0" xfId="0" applyNumberFormat="1" applyFill="1" applyAlignment="1">
      <alignment horizontal="center"/>
    </xf>
    <xf numFmtId="17" fontId="9" fillId="9" borderId="1" xfId="0" applyNumberFormat="1" applyFont="1" applyFill="1" applyBorder="1" applyAlignment="1">
      <alignment horizontal="right"/>
    </xf>
    <xf numFmtId="0" fontId="0" fillId="9" borderId="0" xfId="0" applyFill="1"/>
    <xf numFmtId="3" fontId="0" fillId="9" borderId="0" xfId="0" applyNumberFormat="1" applyFill="1"/>
    <xf numFmtId="4" fontId="0" fillId="9" borderId="1" xfId="0" applyNumberFormat="1" applyFill="1" applyBorder="1"/>
    <xf numFmtId="4" fontId="0" fillId="9" borderId="0" xfId="0" applyNumberFormat="1" applyFill="1"/>
    <xf numFmtId="3" fontId="0" fillId="9" borderId="2" xfId="0" applyNumberFormat="1" applyFill="1" applyBorder="1"/>
    <xf numFmtId="3" fontId="0" fillId="9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4" fontId="0" fillId="5" borderId="21" xfId="0" applyNumberFormat="1" applyFill="1" applyBorder="1" applyAlignment="1">
      <alignment horizontal="center"/>
    </xf>
    <xf numFmtId="4" fontId="0" fillId="5" borderId="15" xfId="0" applyNumberForma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 vertical="center"/>
    </xf>
    <xf numFmtId="4" fontId="0" fillId="7" borderId="21" xfId="0" applyNumberFormat="1" applyFill="1" applyBorder="1" applyAlignment="1">
      <alignment horizontal="center"/>
    </xf>
    <xf numFmtId="4" fontId="0" fillId="7" borderId="15" xfId="0" applyNumberFormat="1" applyFill="1" applyBorder="1" applyAlignment="1">
      <alignment horizontal="center"/>
    </xf>
    <xf numFmtId="4" fontId="0" fillId="5" borderId="13" xfId="0" applyNumberFormat="1" applyFill="1" applyBorder="1" applyAlignment="1">
      <alignment horizontal="center"/>
    </xf>
    <xf numFmtId="4" fontId="0" fillId="5" borderId="23" xfId="0" applyNumberFormat="1" applyFill="1" applyBorder="1" applyAlignment="1">
      <alignment horizontal="center"/>
    </xf>
    <xf numFmtId="4" fontId="0" fillId="8" borderId="21" xfId="0" applyNumberFormat="1" applyFill="1" applyBorder="1" applyAlignment="1">
      <alignment horizontal="center"/>
    </xf>
    <xf numFmtId="4" fontId="0" fillId="8" borderId="15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0" fillId="5" borderId="0" xfId="0" applyFont="1" applyFill="1" applyAlignment="1">
      <alignment horizontal="center" vertical="center" wrapText="1"/>
    </xf>
    <xf numFmtId="0" fontId="28" fillId="13" borderId="0" xfId="0" applyFont="1" applyFill="1" applyBorder="1" applyAlignment="1">
      <alignment horizontal="left" wrapText="1"/>
    </xf>
    <xf numFmtId="0" fontId="11" fillId="13" borderId="0" xfId="0" applyFont="1" applyFill="1" applyBorder="1" applyAlignment="1">
      <alignment horizontal="justify" vertical="center" wrapText="1"/>
    </xf>
    <xf numFmtId="49" fontId="29" fillId="5" borderId="0" xfId="0" applyNumberFormat="1" applyFont="1" applyFill="1" applyBorder="1" applyAlignment="1">
      <alignment horizontal="left" vertical="top" wrapText="1"/>
    </xf>
    <xf numFmtId="49" fontId="29" fillId="5" borderId="0" xfId="0" applyNumberFormat="1" applyFont="1" applyFill="1" applyBorder="1" applyAlignment="1">
      <alignment horizontal="left" vertical="top"/>
    </xf>
    <xf numFmtId="0" fontId="2" fillId="13" borderId="0" xfId="0" applyFont="1" applyFill="1" applyBorder="1" applyAlignment="1">
      <alignment horizontal="left" wrapText="1"/>
    </xf>
    <xf numFmtId="0" fontId="19" fillId="13" borderId="0" xfId="0" applyFont="1" applyFill="1" applyBorder="1" applyAlignment="1">
      <alignment horizontal="left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56192"/>
        <c:axId val="106457728"/>
      </c:scatterChart>
      <c:valAx>
        <c:axId val="10645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457728"/>
        <c:crosses val="autoZero"/>
        <c:crossBetween val="midCat"/>
      </c:valAx>
      <c:valAx>
        <c:axId val="10645772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456192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77824"/>
        <c:axId val="106496000"/>
      </c:scatterChart>
      <c:valAx>
        <c:axId val="10647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496000"/>
        <c:crosses val="autoZero"/>
        <c:crossBetween val="midCat"/>
      </c:valAx>
      <c:valAx>
        <c:axId val="106496000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477824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14574324733"/>
          <c:y val="2.2141952535653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1191053443"/>
          <c:y val="0.21081613291844176"/>
          <c:w val="0.83022426968072149"/>
          <c:h val="0.6589225021264988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dPt>
            <c:idx val="102"/>
            <c:bubble3D val="0"/>
          </c:dPt>
          <c:dPt>
            <c:idx val="107"/>
            <c:bubble3D val="0"/>
          </c:dPt>
          <c:dLbls>
            <c:dLbl>
              <c:idx val="112"/>
              <c:layout>
                <c:manualLayout>
                  <c:x val="0"/>
                  <c:y val="2.1915665855367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682F"/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(no)'!$C$175:$C$288</c:f>
              <c:numCache>
                <c:formatCode>0.00</c:formatCode>
                <c:ptCount val="114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2009.0833273000089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2009.3333272000091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2010.7499933000099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2012.4166593000109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2012.6666592000111</c:v>
                </c:pt>
                <c:pt idx="57">
                  <c:v>2012.7499925000111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2014.0833253000119</c:v>
                </c:pt>
                <c:pt idx="74">
                  <c:v>2014.1666586000119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2014.4166585000121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2015.8333246000129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2016.0833245000131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</c:numCache>
            </c:numRef>
          </c:xVal>
          <c:yVal>
            <c:numRef>
              <c:f>'ESTRUCTURA oil (no)'!$AI$175:$AI$288</c:f>
              <c:numCache>
                <c:formatCode>#,##0</c:formatCode>
                <c:ptCount val="114"/>
                <c:pt idx="0">
                  <c:v>118235.77419354839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95754.709677419363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141525.96774193551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148439.83870967739</c:v>
                </c:pt>
                <c:pt idx="14">
                  <c:v>141201.53571428571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147233.54838709679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152960.19354838709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156001.29999999999</c:v>
                </c:pt>
                <c:pt idx="29">
                  <c:v>154285.51612903224</c:v>
                </c:pt>
                <c:pt idx="30">
                  <c:v>155340.66666666669</c:v>
                </c:pt>
                <c:pt idx="31">
                  <c:v>157015.80645161291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156234.22580645161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152642.16129032261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155960.16129032261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173546.25806451609</c:v>
                </c:pt>
                <c:pt idx="78">
                  <c:v>168850</c:v>
                </c:pt>
                <c:pt idx="79">
                  <c:v>173862.77419354839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154074.76666666669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143466.16129032261</c:v>
                </c:pt>
                <c:pt idx="105">
                  <c:v>128497.26666666666</c:v>
                </c:pt>
                <c:pt idx="106">
                  <c:v>131878.61290322579</c:v>
                </c:pt>
                <c:pt idx="107">
                  <c:v>136880.69999999998</c:v>
                </c:pt>
                <c:pt idx="108">
                  <c:v>138207.77419354839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97"/>
            <c:bubble3D val="0"/>
          </c:dPt>
          <c:dPt>
            <c:idx val="108"/>
            <c:bubble3D val="0"/>
          </c:dPt>
          <c:dPt>
            <c:idx val="109"/>
            <c:bubble3D val="0"/>
          </c:dPt>
          <c:dPt>
            <c:idx val="120"/>
            <c:bubble3D val="0"/>
          </c:dPt>
          <c:dPt>
            <c:idx val="121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Pt>
            <c:idx val="168"/>
            <c:bubble3D val="0"/>
          </c:dPt>
          <c:dPt>
            <c:idx val="180"/>
            <c:bubble3D val="0"/>
          </c:dPt>
          <c:dPt>
            <c:idx val="192"/>
            <c:bubble3D val="0"/>
          </c:dPt>
          <c:dLbls>
            <c:dLbl>
              <c:idx val="268"/>
              <c:layout>
                <c:manualLayout>
                  <c:x val="0"/>
                  <c:y val="-3.1308094079097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(no)'!$C$19:$C$287</c:f>
              <c:numCache>
                <c:formatCode>0.00</c:formatCode>
                <c:ptCount val="26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1995.4999994000009</c:v>
                </c:pt>
                <c:pt idx="7">
                  <c:v>1995.5833327000009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1997.2499987000019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1997.4999986000021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1998.9166647000029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1999.1666646000031</c:v>
                </c:pt>
                <c:pt idx="51">
                  <c:v>1999.2499979000031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2000.5833307000039</c:v>
                </c:pt>
                <c:pt idx="68">
                  <c:v>2000.6666640000039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2000.9166639000041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2002.3333300000049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2002.5833299000051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2003.9999960000059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2004.2499959000061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2005.6666620000069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2005.9166619000071</c:v>
                </c:pt>
                <c:pt idx="132">
                  <c:v>2005.9999952000071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2007.3333280000079</c:v>
                </c:pt>
                <c:pt idx="149">
                  <c:v>2007.4166613000079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2007.6666612000081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2009.0833273000089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2009.3333272000091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2010.7499933000099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2012.4166593000109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2012.6666592000111</c:v>
                </c:pt>
                <c:pt idx="213">
                  <c:v>2012.7499925000111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2014.0833253000119</c:v>
                </c:pt>
                <c:pt idx="230">
                  <c:v>2014.1666586000119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2014.4166585000121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2015.8333246000129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2016.0833245000131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</c:numCache>
            </c:numRef>
          </c:xVal>
          <c:yVal>
            <c:numRef>
              <c:f>'ESTRUCTURA oil (no)'!$AJ$19:$AJ$287</c:f>
              <c:numCache>
                <c:formatCode>#,##0</c:formatCode>
                <c:ptCount val="26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135201</c:v>
                </c:pt>
                <c:pt idx="266">
                  <c:v>135201</c:v>
                </c:pt>
                <c:pt idx="267">
                  <c:v>134881</c:v>
                </c:pt>
                <c:pt idx="268">
                  <c:v>133393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59744"/>
        <c:axId val="117391360"/>
      </c:scatterChart>
      <c:valAx>
        <c:axId val="106559744"/>
        <c:scaling>
          <c:orientation val="minMax"/>
          <c:max val="2017.5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391360"/>
        <c:crosses val="autoZero"/>
        <c:crossBetween val="midCat"/>
        <c:majorUnit val="1"/>
        <c:minorUnit val="0.1"/>
      </c:valAx>
      <c:valAx>
        <c:axId val="117391360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BPD </a:t>
                </a:r>
              </a:p>
            </c:rich>
          </c:tx>
          <c:layout>
            <c:manualLayout>
              <c:xMode val="edge"/>
              <c:yMode val="edge"/>
              <c:x val="4.7187763437619823E-2"/>
              <c:y val="0.13570202326107839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6559744"/>
        <c:crossesAt val="1995"/>
        <c:crossBetween val="midCat"/>
        <c:majorUnit val="10000"/>
        <c:minorUnit val="300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B050"/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425439713938814"/>
          <c:y val="0.93806386089850657"/>
          <c:w val="0.51332453710761705"/>
          <c:h val="4.71354367417359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600" b="1" i="0" u="none" strike="noStrike" baseline="0">
                <a:solidFill>
                  <a:srgbClr val="000000"/>
                </a:solidFill>
                <a:latin typeface="Calibri"/>
              </a:rPr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80714175433"/>
          <c:y val="4.951012157963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4147052853600202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117"/>
              <c:layout>
                <c:manualLayout>
                  <c:x val="0"/>
                  <c:y val="1.547168413789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gas (no)'!$B$167:$B$284</c:f>
              <c:numCache>
                <c:formatCode>0</c:formatCode>
                <c:ptCount val="118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2017.1666574000119</c:v>
                </c:pt>
                <c:pt idx="116">
                  <c:v>2017.2499907000119</c:v>
                </c:pt>
                <c:pt idx="117">
                  <c:v>2017.333324000012</c:v>
                </c:pt>
              </c:numCache>
            </c:numRef>
          </c:xVal>
          <c:yVal>
            <c:numRef>
              <c:f>'ESTRUCTURA gas (no)'!$N$167:$N$284</c:f>
              <c:numCache>
                <c:formatCode>#,##0.0</c:formatCode>
                <c:ptCount val="118"/>
                <c:pt idx="0">
                  <c:v>295526.92400645162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294884.54419354838</c:v>
                </c:pt>
                <c:pt idx="6">
                  <c:v>228311.21572580643</c:v>
                </c:pt>
                <c:pt idx="7">
                  <c:v>270696.65583793103</c:v>
                </c:pt>
                <c:pt idx="8" formatCode="#,##0">
                  <c:v>285538.30265806452</c:v>
                </c:pt>
                <c:pt idx="9" formatCode="#,##0">
                  <c:v>279469.98300333333</c:v>
                </c:pt>
                <c:pt idx="10" formatCode="#,##0">
                  <c:v>338840.81359999999</c:v>
                </c:pt>
                <c:pt idx="11" formatCode="#,##0">
                  <c:v>369132.2581866667</c:v>
                </c:pt>
                <c:pt idx="12" formatCode="#,##0">
                  <c:v>372349.50269999995</c:v>
                </c:pt>
                <c:pt idx="13" formatCode="#,##0">
                  <c:v>369530.26864193549</c:v>
                </c:pt>
                <c:pt idx="14" formatCode="#,##0">
                  <c:v>373363.58669333335</c:v>
                </c:pt>
                <c:pt idx="15" formatCode="#,##0">
                  <c:v>353736.37775161292</c:v>
                </c:pt>
                <c:pt idx="16" formatCode="#,##0">
                  <c:v>353443.18571333337</c:v>
                </c:pt>
                <c:pt idx="17" formatCode="#,##0">
                  <c:v>336960.7205516129</c:v>
                </c:pt>
                <c:pt idx="18" formatCode="#,##0">
                  <c:v>297240.60174838704</c:v>
                </c:pt>
                <c:pt idx="19" formatCode="#,##0">
                  <c:v>279030.5316607143</c:v>
                </c:pt>
                <c:pt idx="20" formatCode="#,##0">
                  <c:v>308531.12116774195</c:v>
                </c:pt>
                <c:pt idx="21" formatCode="#,##0">
                  <c:v>288987.47410333337</c:v>
                </c:pt>
                <c:pt idx="22" formatCode="#,##0">
                  <c:v>328120.90926451609</c:v>
                </c:pt>
                <c:pt idx="23" formatCode="#,##0">
                  <c:v>362334.3258933333</c:v>
                </c:pt>
                <c:pt idx="24" formatCode="#,##0">
                  <c:v>367233.29973548389</c:v>
                </c:pt>
                <c:pt idx="25" formatCode="#,##0">
                  <c:v>376607.92519677419</c:v>
                </c:pt>
                <c:pt idx="26" formatCode="0">
                  <c:v>375797.37509666663</c:v>
                </c:pt>
                <c:pt idx="27" formatCode="#,##0">
                  <c:v>365711.78973870975</c:v>
                </c:pt>
                <c:pt idx="28" formatCode="#,##0">
                  <c:v>351094.47950666666</c:v>
                </c:pt>
                <c:pt idx="29" formatCode="#,##0">
                  <c:v>328222.2606387097</c:v>
                </c:pt>
                <c:pt idx="30" formatCode="#,##0">
                  <c:v>358627.64554838702</c:v>
                </c:pt>
                <c:pt idx="31" formatCode="#,##0">
                  <c:v>382374.71672857139</c:v>
                </c:pt>
                <c:pt idx="32" formatCode="#,##0">
                  <c:v>382220.46809032263</c:v>
                </c:pt>
                <c:pt idx="33" formatCode="#,##0">
                  <c:v>358234.69937333337</c:v>
                </c:pt>
                <c:pt idx="34" formatCode="#,##0">
                  <c:v>438202.67465483869</c:v>
                </c:pt>
                <c:pt idx="35" formatCode="#,##0">
                  <c:v>700877.01615000004</c:v>
                </c:pt>
                <c:pt idx="36" formatCode="#,##0">
                  <c:v>795997.58982580632</c:v>
                </c:pt>
                <c:pt idx="37" formatCode="#,##0">
                  <c:v>991488.62159999995</c:v>
                </c:pt>
                <c:pt idx="38" formatCode="#,##0">
                  <c:v>900604.15757666668</c:v>
                </c:pt>
                <c:pt idx="39" formatCode="#,##0">
                  <c:v>984318.21090322582</c:v>
                </c:pt>
                <c:pt idx="40" formatCode="#,##0">
                  <c:v>1077438.4252366666</c:v>
                </c:pt>
                <c:pt idx="41" formatCode="#,##0">
                  <c:v>1010052.4140677419</c:v>
                </c:pt>
                <c:pt idx="42" formatCode="#,##0">
                  <c:v>1020062.7718999999</c:v>
                </c:pt>
                <c:pt idx="43" formatCode="#,##0">
                  <c:v>1068669.7146285714</c:v>
                </c:pt>
                <c:pt idx="44" formatCode="#,##0">
                  <c:v>779592.91896129039</c:v>
                </c:pt>
                <c:pt idx="45" formatCode="#,##0">
                  <c:v>1034488.74642</c:v>
                </c:pt>
                <c:pt idx="46" formatCode="#,##0">
                  <c:v>1111928.2332000001</c:v>
                </c:pt>
                <c:pt idx="47" formatCode="#,##0">
                  <c:v>1065438.64383</c:v>
                </c:pt>
                <c:pt idx="48" formatCode="#,##0">
                  <c:v>1165948.4785064517</c:v>
                </c:pt>
                <c:pt idx="49" formatCode="#,##0">
                  <c:v>1221097.7096774192</c:v>
                </c:pt>
                <c:pt idx="50" formatCode="#,##0">
                  <c:v>1177139.2333333334</c:v>
                </c:pt>
                <c:pt idx="51" formatCode="#,##0">
                  <c:v>1201184.1935483871</c:v>
                </c:pt>
                <c:pt idx="52" formatCode="#,##0">
                  <c:v>1183811.9666666666</c:v>
                </c:pt>
                <c:pt idx="53" formatCode="#,##0">
                  <c:v>1158905.5161290322</c:v>
                </c:pt>
                <c:pt idx="54" formatCode="#,##0">
                  <c:v>1005231.5486000001</c:v>
                </c:pt>
                <c:pt idx="55" formatCode="#,##0">
                  <c:v>1147450.0326206896</c:v>
                </c:pt>
                <c:pt idx="56" formatCode="#,##0">
                  <c:v>1173210.3774612902</c:v>
                </c:pt>
                <c:pt idx="57" formatCode="#,##0">
                  <c:v>1089538.9046666669</c:v>
                </c:pt>
                <c:pt idx="58" formatCode="#,##0">
                  <c:v>1155256.8387096773</c:v>
                </c:pt>
                <c:pt idx="59" formatCode="#,##0">
                  <c:v>1263040.9206666665</c:v>
                </c:pt>
                <c:pt idx="60" formatCode="#,##0">
                  <c:v>1275361.1223999998</c:v>
                </c:pt>
                <c:pt idx="61" formatCode="#,##0">
                  <c:v>1236067.0985483869</c:v>
                </c:pt>
                <c:pt idx="62" formatCode="#,##0">
                  <c:v>1257705.4482766667</c:v>
                </c:pt>
                <c:pt idx="63" formatCode="#,##0">
                  <c:v>1189109.7610354838</c:v>
                </c:pt>
                <c:pt idx="64" formatCode="#,##0">
                  <c:v>829585.17920000001</c:v>
                </c:pt>
                <c:pt idx="65" formatCode="#,##0">
                  <c:v>1105201.4856451612</c:v>
                </c:pt>
                <c:pt idx="66" formatCode="#,##0">
                  <c:v>1106908.1366258066</c:v>
                </c:pt>
                <c:pt idx="67" formatCode="#,##0">
                  <c:v>1150987.6158964287</c:v>
                </c:pt>
                <c:pt idx="68" formatCode="#,##0">
                  <c:v>1088732.5139290323</c:v>
                </c:pt>
                <c:pt idx="69" formatCode="#,##0">
                  <c:v>1120433.6716666666</c:v>
                </c:pt>
                <c:pt idx="70" formatCode="#,##0">
                  <c:v>1215693.6374193549</c:v>
                </c:pt>
                <c:pt idx="71" formatCode="#,##0">
                  <c:v>1193532.6116666666</c:v>
                </c:pt>
                <c:pt idx="72" formatCode="#,##0">
                  <c:v>1148883.7158064514</c:v>
                </c:pt>
                <c:pt idx="73" formatCode="#,##0">
                  <c:v>1269350.0551612903</c:v>
                </c:pt>
                <c:pt idx="74" formatCode="#,##0">
                  <c:v>1239903.2396666668</c:v>
                </c:pt>
                <c:pt idx="75" formatCode="#,##0">
                  <c:v>1218599.9822580644</c:v>
                </c:pt>
                <c:pt idx="76" formatCode="#,##0">
                  <c:v>1214291.0726666665</c:v>
                </c:pt>
                <c:pt idx="77" formatCode="#,##0">
                  <c:v>1186885.0792903225</c:v>
                </c:pt>
                <c:pt idx="78" formatCode="#,##0">
                  <c:v>1182989.9674193549</c:v>
                </c:pt>
                <c:pt idx="79" formatCode="#,##0">
                  <c:v>1230551.1860714285</c:v>
                </c:pt>
                <c:pt idx="80" formatCode="#,##0">
                  <c:v>1298397.7416129033</c:v>
                </c:pt>
                <c:pt idx="81" formatCode="#,##0">
                  <c:v>1256754.6726666666</c:v>
                </c:pt>
                <c:pt idx="82" formatCode="#,##0">
                  <c:v>1174131.5496774195</c:v>
                </c:pt>
                <c:pt idx="83" formatCode="#,##0">
                  <c:v>1113205</c:v>
                </c:pt>
                <c:pt idx="84" formatCode="#,##0">
                  <c:v>1278965.3870967743</c:v>
                </c:pt>
                <c:pt idx="85" formatCode="#,##0">
                  <c:v>1252423.3018999998</c:v>
                </c:pt>
                <c:pt idx="86" formatCode="#,##0">
                  <c:v>1221616</c:v>
                </c:pt>
                <c:pt idx="87" formatCode="#,##0">
                  <c:v>1343678</c:v>
                </c:pt>
                <c:pt idx="88" formatCode="#,##0">
                  <c:v>1344885</c:v>
                </c:pt>
                <c:pt idx="89" formatCode="#,##0">
                  <c:v>1303533.451612903</c:v>
                </c:pt>
                <c:pt idx="90" formatCode="#,##0">
                  <c:v>1233309.9032258063</c:v>
                </c:pt>
                <c:pt idx="91" formatCode="#,##0">
                  <c:v>1235733.75</c:v>
                </c:pt>
                <c:pt idx="92" formatCode="#,##0">
                  <c:v>1252104.5806451612</c:v>
                </c:pt>
                <c:pt idx="93" formatCode="#,##0">
                  <c:v>1153490.96845</c:v>
                </c:pt>
                <c:pt idx="94" formatCode="#,##0">
                  <c:v>1025056.9677419355</c:v>
                </c:pt>
                <c:pt idx="95" formatCode="#,##0">
                  <c:v>1351609.9333333331</c:v>
                </c:pt>
                <c:pt idx="96" formatCode="#,##0">
                  <c:v>1225001.4516129033</c:v>
                </c:pt>
                <c:pt idx="97" formatCode="#,##0">
                  <c:v>917233.74193548388</c:v>
                </c:pt>
                <c:pt idx="98" formatCode="#,##0">
                  <c:v>1066497.8676666669</c:v>
                </c:pt>
                <c:pt idx="99" formatCode="#,##0">
                  <c:v>1372026.7996774197</c:v>
                </c:pt>
                <c:pt idx="100" formatCode="#,##0">
                  <c:v>1353317.1333333333</c:v>
                </c:pt>
                <c:pt idx="101" formatCode="#,##0">
                  <c:v>1326580.8709677418</c:v>
                </c:pt>
                <c:pt idx="102" formatCode="#,##0">
                  <c:v>998675.32258064509</c:v>
                </c:pt>
                <c:pt idx="103" formatCode="#,##0">
                  <c:v>1063225.9688103448</c:v>
                </c:pt>
                <c:pt idx="104" formatCode="#,##0">
                  <c:v>1297819.6733774194</c:v>
                </c:pt>
                <c:pt idx="105" formatCode="#,##0">
                  <c:v>1313613.8666666669</c:v>
                </c:pt>
                <c:pt idx="106" formatCode="#,##0">
                  <c:v>1446528.1612903227</c:v>
                </c:pt>
                <c:pt idx="107" formatCode="#,##0">
                  <c:v>1326088.9666666666</c:v>
                </c:pt>
                <c:pt idx="108" formatCode="#,##0">
                  <c:v>1512372</c:v>
                </c:pt>
                <c:pt idx="109" formatCode="#,##0">
                  <c:v>1468104.5245903225</c:v>
                </c:pt>
                <c:pt idx="110" formatCode="#,##0">
                  <c:v>1391000.0528499999</c:v>
                </c:pt>
                <c:pt idx="111" formatCode="#,##0">
                  <c:v>1400096.4323354836</c:v>
                </c:pt>
                <c:pt idx="112" formatCode="#,##0">
                  <c:v>1534268.6860233333</c:v>
                </c:pt>
                <c:pt idx="113" formatCode="#,##0">
                  <c:v>1445701.7787677422</c:v>
                </c:pt>
                <c:pt idx="114" formatCode="#,##0">
                  <c:v>1223514.5233741936</c:v>
                </c:pt>
                <c:pt idx="115" formatCode="#,##0">
                  <c:v>1177591.9728999999</c:v>
                </c:pt>
                <c:pt idx="116" formatCode="#,##0">
                  <c:v>1204775.2013000001</c:v>
                </c:pt>
                <c:pt idx="117" formatCode="#,##0">
                  <c:v>1143093.7067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2"/>
            <c:bubble3D val="0"/>
          </c:dPt>
          <c:dPt>
            <c:idx val="24"/>
            <c:bubble3D val="0"/>
          </c:dPt>
          <c:dPt>
            <c:idx val="36"/>
            <c:bubble3D val="0"/>
          </c:dPt>
          <c:dPt>
            <c:idx val="48"/>
            <c:bubble3D val="0"/>
          </c:dPt>
          <c:dPt>
            <c:idx val="60"/>
            <c:bubble3D val="0"/>
          </c:dPt>
          <c:dPt>
            <c:idx val="72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108"/>
            <c:bubble3D val="0"/>
          </c:dPt>
          <c:dPt>
            <c:idx val="120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-2.6013071895424837E-2"/>
                  <c:y val="-2.4835309379431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layout>
                <c:manualLayout>
                  <c:x val="-5.4024276377217552E-2"/>
                  <c:y val="-2.7900443479047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layout>
                <c:manualLayout>
                  <c:x val="-4.2819794584500401E-2"/>
                  <c:y val="-5.855178447521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layout>
                <c:manualLayout>
                  <c:x val="-5.4024276377217552E-2"/>
                  <c:y val="-4.01609798775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336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328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6"/>
              <c:delete val="1"/>
            </c:dLbl>
            <c:dLbl>
              <c:idx val="15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1,099,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9"/>
              <c:delete val="1"/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'ESTRUCTURA gas (no)'!$B$167:$B$284</c:f>
              <c:numCache>
                <c:formatCode>0</c:formatCode>
                <c:ptCount val="118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2017.1666574000119</c:v>
                </c:pt>
                <c:pt idx="116">
                  <c:v>2017.2499907000119</c:v>
                </c:pt>
                <c:pt idx="117">
                  <c:v>2017.333324000012</c:v>
                </c:pt>
              </c:numCache>
            </c:numRef>
          </c:xVal>
          <c:yVal>
            <c:numRef>
              <c:f>'ESTRUCTURA gas (no)'!$O$167:$O$284</c:f>
              <c:numCache>
                <c:formatCode>#,##0</c:formatCode>
                <c:ptCount val="118"/>
                <c:pt idx="0">
                  <c:v>258864.38649999999</c:v>
                </c:pt>
                <c:pt idx="1">
                  <c:v>258864.38649999999</c:v>
                </c:pt>
                <c:pt idx="2">
                  <c:v>258864.38649999999</c:v>
                </c:pt>
                <c:pt idx="3">
                  <c:v>258864.38649999999</c:v>
                </c:pt>
                <c:pt idx="4">
                  <c:v>258864.38649999999</c:v>
                </c:pt>
                <c:pt idx="5">
                  <c:v>258864.38649999999</c:v>
                </c:pt>
                <c:pt idx="6">
                  <c:v>327747.97029999999</c:v>
                </c:pt>
                <c:pt idx="7">
                  <c:v>327747.97029999999</c:v>
                </c:pt>
                <c:pt idx="8">
                  <c:v>327747.97029999999</c:v>
                </c:pt>
                <c:pt idx="9">
                  <c:v>327747.97029999999</c:v>
                </c:pt>
                <c:pt idx="10">
                  <c:v>327747.97029999999</c:v>
                </c:pt>
                <c:pt idx="11">
                  <c:v>327747.97029999999</c:v>
                </c:pt>
                <c:pt idx="12">
                  <c:v>327747.97029999999</c:v>
                </c:pt>
                <c:pt idx="13">
                  <c:v>327747.97029999999</c:v>
                </c:pt>
                <c:pt idx="14">
                  <c:v>327747.97029999999</c:v>
                </c:pt>
                <c:pt idx="15">
                  <c:v>327747.97029999999</c:v>
                </c:pt>
                <c:pt idx="16">
                  <c:v>327747.97029999999</c:v>
                </c:pt>
                <c:pt idx="17">
                  <c:v>327747.97029999999</c:v>
                </c:pt>
                <c:pt idx="18">
                  <c:v>336112.25160000002</c:v>
                </c:pt>
                <c:pt idx="19">
                  <c:v>336112.25160000002</c:v>
                </c:pt>
                <c:pt idx="20">
                  <c:v>336112.25160000002</c:v>
                </c:pt>
                <c:pt idx="21">
                  <c:v>336112.25160000002</c:v>
                </c:pt>
                <c:pt idx="22">
                  <c:v>336112.25160000002</c:v>
                </c:pt>
                <c:pt idx="23">
                  <c:v>336112.25160000002</c:v>
                </c:pt>
                <c:pt idx="24">
                  <c:v>336112.25160000002</c:v>
                </c:pt>
                <c:pt idx="25">
                  <c:v>336112.25160000002</c:v>
                </c:pt>
                <c:pt idx="26">
                  <c:v>336112.25160000002</c:v>
                </c:pt>
                <c:pt idx="27">
                  <c:v>336112.25160000002</c:v>
                </c:pt>
                <c:pt idx="28">
                  <c:v>336112.25160000002</c:v>
                </c:pt>
                <c:pt idx="29">
                  <c:v>336112.25160000002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1179614.0900000001</c:v>
                </c:pt>
                <c:pt idx="67">
                  <c:v>1179614.0900000001</c:v>
                </c:pt>
                <c:pt idx="68">
                  <c:v>1179614.0900000001</c:v>
                </c:pt>
                <c:pt idx="69">
                  <c:v>1179614.0900000001</c:v>
                </c:pt>
                <c:pt idx="70">
                  <c:v>1179614.0900000001</c:v>
                </c:pt>
                <c:pt idx="71">
                  <c:v>1179614.0900000001</c:v>
                </c:pt>
                <c:pt idx="72">
                  <c:v>1179614.0900000001</c:v>
                </c:pt>
                <c:pt idx="73">
                  <c:v>1179614.0900000001</c:v>
                </c:pt>
                <c:pt idx="74">
                  <c:v>1179614.0900000001</c:v>
                </c:pt>
                <c:pt idx="75">
                  <c:v>1179614.0900000001</c:v>
                </c:pt>
                <c:pt idx="76">
                  <c:v>1179614.0900000001</c:v>
                </c:pt>
                <c:pt idx="77">
                  <c:v>1179614.0900000001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1294666.0900999999</c:v>
                </c:pt>
                <c:pt idx="91">
                  <c:v>1294666.0900999999</c:v>
                </c:pt>
                <c:pt idx="92">
                  <c:v>1294666.0900999999</c:v>
                </c:pt>
                <c:pt idx="93">
                  <c:v>1294666.0900999999</c:v>
                </c:pt>
                <c:pt idx="94">
                  <c:v>1294666.0900999999</c:v>
                </c:pt>
                <c:pt idx="95">
                  <c:v>1294666.0900999999</c:v>
                </c:pt>
                <c:pt idx="96">
                  <c:v>1294666.0900999999</c:v>
                </c:pt>
                <c:pt idx="97">
                  <c:v>1294666.0900999999</c:v>
                </c:pt>
                <c:pt idx="98">
                  <c:v>1294666.0900999999</c:v>
                </c:pt>
                <c:pt idx="99">
                  <c:v>1294666.0900999999</c:v>
                </c:pt>
                <c:pt idx="100">
                  <c:v>1294666.0900999999</c:v>
                </c:pt>
                <c:pt idx="101">
                  <c:v>1294666.0900999999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1201720.7705999999</c:v>
                </c:pt>
                <c:pt idx="115">
                  <c:v>1201720.7705999999</c:v>
                </c:pt>
                <c:pt idx="116">
                  <c:v>1202772.8522000001</c:v>
                </c:pt>
                <c:pt idx="117">
                  <c:v>1187853.0658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20864"/>
        <c:axId val="120822400"/>
      </c:scatterChart>
      <c:valAx>
        <c:axId val="120820864"/>
        <c:scaling>
          <c:orientation val="minMax"/>
          <c:max val="2017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0822400"/>
        <c:crosses val="autoZero"/>
        <c:crossBetween val="midCat"/>
        <c:majorUnit val="1"/>
        <c:minorUnit val="0.1"/>
      </c:valAx>
      <c:valAx>
        <c:axId val="120822400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MMPCD</a:t>
                </a:r>
              </a:p>
            </c:rich>
          </c:tx>
          <c:layout>
            <c:manualLayout>
              <c:xMode val="edge"/>
              <c:yMode val="edge"/>
              <c:x val="7.863575876544843E-3"/>
              <c:y val="0.43074522581229069"/>
            </c:manualLayout>
          </c:layout>
          <c:overlay val="0"/>
        </c:title>
        <c:numFmt formatCode="#,##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0820864"/>
        <c:crossesAt val="1996"/>
        <c:crossBetween val="midCat"/>
        <c:majorUnit val="100000"/>
        <c:minorUnit val="10000"/>
        <c:dispUnits>
          <c:builtInUnit val="thousands"/>
        </c:dispUnits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5519089525574007"/>
          <c:y val="0.91435122333846197"/>
          <c:w val="0.5076475734650816"/>
          <c:h val="6.79412314839955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33947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339477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95250</xdr:rowOff>
    </xdr:from>
    <xdr:to>
      <xdr:col>11</xdr:col>
      <xdr:colOff>994171</xdr:colOff>
      <xdr:row>32</xdr:row>
      <xdr:rowOff>133350</xdr:rowOff>
    </xdr:to>
    <xdr:graphicFrame macro="">
      <xdr:nvGraphicFramePr>
        <xdr:cNvPr id="3395081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9526</xdr:colOff>
      <xdr:row>55</xdr:row>
      <xdr:rowOff>85725</xdr:rowOff>
    </xdr:from>
    <xdr:to>
      <xdr:col>11</xdr:col>
      <xdr:colOff>952501</xdr:colOff>
      <xdr:row>81</xdr:row>
      <xdr:rowOff>19050</xdr:rowOff>
    </xdr:to>
    <xdr:graphicFrame macro="">
      <xdr:nvGraphicFramePr>
        <xdr:cNvPr id="3395081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0.45016</cdr:x>
      <cdr:y>0.51541</cdr:y>
    </cdr:from>
    <cdr:to>
      <cdr:x>0.45912</cdr:x>
      <cdr:y>0.55866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659" y="2130972"/>
          <a:ext cx="68993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BK290"/>
  <sheetViews>
    <sheetView topLeftCell="AA1" workbookViewId="0">
      <pane ySplit="7" topLeftCell="A269" activePane="bottomLeft" state="frozen"/>
      <selection activeCell="AI291" sqref="AI291"/>
      <selection pane="bottomLeft" activeCell="AI291" sqref="AI291"/>
    </sheetView>
  </sheetViews>
  <sheetFormatPr baseColWidth="10" defaultRowHeight="12.75" x14ac:dyDescent="0.2"/>
  <cols>
    <col min="1" max="1" width="2.85546875" style="135" customWidth="1"/>
    <col min="2" max="2" width="1.42578125" style="135" customWidth="1"/>
    <col min="3" max="3" width="9.28515625" style="183" customWidth="1"/>
    <col min="4" max="4" width="10.5703125" style="135" bestFit="1" customWidth="1"/>
    <col min="5" max="5" width="9" style="135" customWidth="1"/>
    <col min="6" max="6" width="10.140625" style="135" customWidth="1"/>
    <col min="7" max="7" width="11" style="135" customWidth="1"/>
    <col min="8" max="8" width="9.7109375" style="135" customWidth="1"/>
    <col min="9" max="9" width="11" style="135" bestFit="1" customWidth="1"/>
    <col min="10" max="10" width="10.140625" style="135" bestFit="1" customWidth="1"/>
    <col min="11" max="11" width="8.5703125" style="135" customWidth="1"/>
    <col min="12" max="12" width="12" style="135" bestFit="1" customWidth="1"/>
    <col min="13" max="13" width="11.85546875" style="135" customWidth="1"/>
    <col min="14" max="14" width="10.5703125" style="135" customWidth="1"/>
    <col min="15" max="15" width="12" style="135" bestFit="1" customWidth="1"/>
    <col min="16" max="16" width="10.140625" style="135" bestFit="1" customWidth="1"/>
    <col min="17" max="17" width="8.5703125" style="135" customWidth="1"/>
    <col min="18" max="18" width="11" style="135" customWidth="1"/>
    <col min="19" max="20" width="12.42578125" style="135" customWidth="1"/>
    <col min="21" max="22" width="15.140625" style="135" customWidth="1"/>
    <col min="23" max="26" width="14" style="135" customWidth="1"/>
    <col min="27" max="27" width="12.28515625" style="135" bestFit="1" customWidth="1"/>
    <col min="28" max="28" width="8.28515625" style="135" customWidth="1"/>
    <col min="29" max="34" width="10.140625" style="135" customWidth="1"/>
    <col min="35" max="35" width="11" style="135" customWidth="1"/>
    <col min="36" max="36" width="14.140625" style="135" bestFit="1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1:36" x14ac:dyDescent="0.2">
      <c r="C8" s="184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x14ac:dyDescent="0.2">
      <c r="A9" s="149"/>
      <c r="B9" s="149"/>
      <c r="C9" s="184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138">
        <v>127305</v>
      </c>
    </row>
    <row r="10" spans="1:36" x14ac:dyDescent="0.2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138">
        <v>127305</v>
      </c>
    </row>
    <row r="11" spans="1:36" x14ac:dyDescent="0.2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x14ac:dyDescent="0.2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138">
        <v>127305</v>
      </c>
    </row>
    <row r="13" spans="1:36" x14ac:dyDescent="0.2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x14ac:dyDescent="0.2">
      <c r="A14" s="149">
        <v>2.7397260273972603E-3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x14ac:dyDescent="0.2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x14ac:dyDescent="0.2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x14ac:dyDescent="0.2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x14ac:dyDescent="0.2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x14ac:dyDescent="0.2">
      <c r="A19" s="149"/>
      <c r="B19" s="149"/>
      <c r="C19" s="184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x14ac:dyDescent="0.2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x14ac:dyDescent="0.2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x14ac:dyDescent="0.2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x14ac:dyDescent="0.2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x14ac:dyDescent="0.2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x14ac:dyDescent="0.2">
      <c r="A25" s="149"/>
      <c r="B25" s="149"/>
      <c r="C25" s="184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138">
        <v>121700</v>
      </c>
    </row>
    <row r="26" spans="1:36" x14ac:dyDescent="0.2">
      <c r="A26" s="149"/>
      <c r="B26" s="149"/>
      <c r="C26" s="184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x14ac:dyDescent="0.2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x14ac:dyDescent="0.2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x14ac:dyDescent="0.2">
      <c r="A29" s="149"/>
      <c r="B29" s="149"/>
      <c r="C29" s="184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x14ac:dyDescent="0.2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x14ac:dyDescent="0.2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x14ac:dyDescent="0.2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x14ac:dyDescent="0.2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x14ac:dyDescent="0.2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x14ac:dyDescent="0.2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x14ac:dyDescent="0.2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x14ac:dyDescent="0.2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x14ac:dyDescent="0.2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x14ac:dyDescent="0.2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x14ac:dyDescent="0.2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x14ac:dyDescent="0.2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x14ac:dyDescent="0.2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x14ac:dyDescent="0.2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x14ac:dyDescent="0.2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x14ac:dyDescent="0.2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x14ac:dyDescent="0.2">
      <c r="A46" s="149"/>
      <c r="B46" s="149"/>
      <c r="C46" s="184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x14ac:dyDescent="0.2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x14ac:dyDescent="0.2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x14ac:dyDescent="0.2">
      <c r="A49" s="149"/>
      <c r="B49" s="149"/>
      <c r="C49" s="184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x14ac:dyDescent="0.2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x14ac:dyDescent="0.2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x14ac:dyDescent="0.2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x14ac:dyDescent="0.2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x14ac:dyDescent="0.2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x14ac:dyDescent="0.2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x14ac:dyDescent="0.2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x14ac:dyDescent="0.2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x14ac:dyDescent="0.2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x14ac:dyDescent="0.2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x14ac:dyDescent="0.2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x14ac:dyDescent="0.2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t="shared" ref="AJ61:AJ67" si="4">+AJ60</f>
        <v>115593</v>
      </c>
    </row>
    <row r="62" spans="1:36" x14ac:dyDescent="0.2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x14ac:dyDescent="0.2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x14ac:dyDescent="0.2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7" x14ac:dyDescent="0.2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7" x14ac:dyDescent="0.2">
      <c r="A66" s="149"/>
      <c r="B66" s="149"/>
      <c r="C66" s="184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7" x14ac:dyDescent="0.2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7" x14ac:dyDescent="0.2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7" x14ac:dyDescent="0.2">
      <c r="A69" s="149"/>
      <c r="B69" s="149"/>
      <c r="C69" s="184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t="shared" ref="AJ69:AJ78" si="5">+AJ68</f>
        <v>105927</v>
      </c>
    </row>
    <row r="70" spans="1:37" x14ac:dyDescent="0.2">
      <c r="A70" s="149"/>
      <c r="B70" s="149"/>
      <c r="C70" s="184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7" x14ac:dyDescent="0.2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x14ac:dyDescent="0.2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7" x14ac:dyDescent="0.2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7" x14ac:dyDescent="0.2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7" x14ac:dyDescent="0.2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7" x14ac:dyDescent="0.2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7" x14ac:dyDescent="0.2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7" x14ac:dyDescent="0.2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7" x14ac:dyDescent="0.2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7" x14ac:dyDescent="0.2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40" x14ac:dyDescent="0.2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t="shared" ref="AJ81:AJ86" si="6">+AJ80</f>
        <v>99217</v>
      </c>
    </row>
    <row r="82" spans="1:40" x14ac:dyDescent="0.2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40" x14ac:dyDescent="0.2">
      <c r="A83" s="149"/>
      <c r="B83" s="149"/>
      <c r="C83" s="184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40" x14ac:dyDescent="0.2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40" x14ac:dyDescent="0.2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49">
        <v>3869</v>
      </c>
      <c r="K85" s="249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40" x14ac:dyDescent="0.2">
      <c r="A86" s="149"/>
      <c r="B86" s="149"/>
      <c r="C86" s="184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49">
        <v>4034</v>
      </c>
      <c r="K86" s="249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40" x14ac:dyDescent="0.2">
      <c r="A87" s="149"/>
      <c r="B87" s="149"/>
      <c r="C87" s="184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49">
        <v>4285</v>
      </c>
      <c r="K87" s="249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x14ac:dyDescent="0.2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49">
        <v>4266</v>
      </c>
      <c r="K88" s="249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40" x14ac:dyDescent="0.2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49">
        <v>4352</v>
      </c>
      <c r="K89" s="249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40" x14ac:dyDescent="0.2">
      <c r="A90" s="149"/>
      <c r="B90" s="149"/>
      <c r="C90" s="184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258">
        <v>4271.2666666666664</v>
      </c>
      <c r="K90" s="25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40" x14ac:dyDescent="0.2">
      <c r="A91" s="149"/>
      <c r="B91" s="149"/>
      <c r="C91" s="184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49">
        <v>4265.2258064516127</v>
      </c>
      <c r="K91" s="249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138">
        <v>99217</v>
      </c>
    </row>
    <row r="92" spans="1:40" x14ac:dyDescent="0.2">
      <c r="A92" s="149"/>
      <c r="B92" s="149"/>
      <c r="C92" s="184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49">
        <v>4113.322580645161</v>
      </c>
      <c r="K92" s="249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138">
        <v>97097</v>
      </c>
    </row>
    <row r="93" spans="1:40" x14ac:dyDescent="0.2">
      <c r="A93" s="149"/>
      <c r="B93" s="149"/>
      <c r="C93" s="184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49">
        <v>4045.2142857142858</v>
      </c>
      <c r="K93" s="249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t="shared" ref="AJ93:AJ98" si="8">+AJ92</f>
        <v>97097</v>
      </c>
    </row>
    <row r="94" spans="1:40" x14ac:dyDescent="0.2">
      <c r="A94" s="149"/>
      <c r="B94" s="149"/>
      <c r="C94" s="184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49">
        <v>3904.0645161290322</v>
      </c>
      <c r="K94" s="249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138">
        <f t="shared" si="8"/>
        <v>97097</v>
      </c>
      <c r="AM94" s="134"/>
    </row>
    <row r="95" spans="1:40" x14ac:dyDescent="0.2">
      <c r="A95" s="149"/>
      <c r="B95" s="149"/>
      <c r="C95" s="184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49">
        <v>4358.2</v>
      </c>
      <c r="K95" s="249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40" x14ac:dyDescent="0.2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49">
        <v>4537.3870967741932</v>
      </c>
      <c r="K96" s="249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x14ac:dyDescent="0.2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49">
        <v>4451</v>
      </c>
      <c r="K97" s="249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x14ac:dyDescent="0.2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49">
        <v>4561</v>
      </c>
      <c r="K98" s="249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49">
        <v>4385</v>
      </c>
      <c r="K99" s="249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x14ac:dyDescent="0.2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49">
        <v>4487</v>
      </c>
      <c r="K100" s="249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x14ac:dyDescent="0.2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49">
        <v>4265</v>
      </c>
      <c r="K101" s="249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x14ac:dyDescent="0.2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49">
        <v>4133</v>
      </c>
      <c r="K102" s="249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138">
        <f>+AJ101</f>
        <v>97097</v>
      </c>
      <c r="AM102" s="134"/>
    </row>
    <row r="103" spans="1:39" x14ac:dyDescent="0.2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49">
        <v>3945</v>
      </c>
      <c r="K103" s="249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x14ac:dyDescent="0.2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49">
        <v>3743</v>
      </c>
      <c r="K104" s="249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x14ac:dyDescent="0.2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49">
        <v>3792</v>
      </c>
      <c r="K105" s="249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x14ac:dyDescent="0.2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49">
        <v>3462</v>
      </c>
      <c r="K106" s="249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t="shared" ref="AJ106:AJ114" si="10">+AJ105</f>
        <v>96865</v>
      </c>
      <c r="AM106" s="134"/>
    </row>
    <row r="107" spans="1:39" x14ac:dyDescent="0.2">
      <c r="A107" s="149"/>
      <c r="B107" s="149"/>
      <c r="C107" s="184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49">
        <v>3441</v>
      </c>
      <c r="K107" s="249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x14ac:dyDescent="0.2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49">
        <v>3531</v>
      </c>
      <c r="K108" s="249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x14ac:dyDescent="0.2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49">
        <v>3546</v>
      </c>
      <c r="K109" s="249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138">
        <f t="shared" si="10"/>
        <v>96865</v>
      </c>
      <c r="AM109" s="134"/>
    </row>
    <row r="110" spans="1:39" x14ac:dyDescent="0.2">
      <c r="A110" s="149"/>
      <c r="B110" s="149"/>
      <c r="C110" s="184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49">
        <v>3405</v>
      </c>
      <c r="K110" s="249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x14ac:dyDescent="0.2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49">
        <v>3341</v>
      </c>
      <c r="K111" s="249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x14ac:dyDescent="0.2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49">
        <v>3357</v>
      </c>
      <c r="K112" s="249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x14ac:dyDescent="0.2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49">
        <v>3346</v>
      </c>
      <c r="K113" s="249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x14ac:dyDescent="0.2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49">
        <v>3341</v>
      </c>
      <c r="K114" s="249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x14ac:dyDescent="0.2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49">
        <v>3291</v>
      </c>
      <c r="K115" s="249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x14ac:dyDescent="0.2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49">
        <v>3103</v>
      </c>
      <c r="K116" s="249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x14ac:dyDescent="0.2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49">
        <v>3002</v>
      </c>
      <c r="K117" s="249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t="shared" ref="AJ117:AJ127" si="12">+AJ116</f>
        <v>91350</v>
      </c>
      <c r="AM117" s="134"/>
    </row>
    <row r="118" spans="1:39" x14ac:dyDescent="0.2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49">
        <v>2920</v>
      </c>
      <c r="K118" s="249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138">
        <f t="shared" si="12"/>
        <v>91350</v>
      </c>
    </row>
    <row r="119" spans="1:39" x14ac:dyDescent="0.2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49">
        <v>3023</v>
      </c>
      <c r="K119" s="249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9" x14ac:dyDescent="0.2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49">
        <v>3080</v>
      </c>
      <c r="K120" s="249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9" x14ac:dyDescent="0.2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49">
        <v>3168</v>
      </c>
      <c r="K121" s="249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9" x14ac:dyDescent="0.2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49">
        <v>3369</v>
      </c>
      <c r="K122" s="249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9" x14ac:dyDescent="0.2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49">
        <v>3462</v>
      </c>
      <c r="K123" s="249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9" x14ac:dyDescent="0.2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49">
        <v>3406</v>
      </c>
      <c r="K124" s="249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9" x14ac:dyDescent="0.2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49">
        <v>3500</v>
      </c>
      <c r="K125" s="249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9" x14ac:dyDescent="0.2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49">
        <v>3472</v>
      </c>
      <c r="K126" s="249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9" x14ac:dyDescent="0.2">
      <c r="A127" s="149"/>
      <c r="B127" s="149"/>
      <c r="C127" s="184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49">
        <v>4015</v>
      </c>
      <c r="K127" s="249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9" x14ac:dyDescent="0.2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49">
        <v>3622</v>
      </c>
      <c r="K128" s="249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8" x14ac:dyDescent="0.2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49">
        <v>3604</v>
      </c>
      <c r="K129" s="249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8" x14ac:dyDescent="0.2">
      <c r="C130" s="184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49">
        <v>3645</v>
      </c>
      <c r="K130" s="249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8" x14ac:dyDescent="0.2">
      <c r="C131" s="184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49">
        <v>3604.5</v>
      </c>
      <c r="K131" s="249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8" x14ac:dyDescent="0.2">
      <c r="C132" s="184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49">
        <v>3630</v>
      </c>
      <c r="K132" s="249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8" x14ac:dyDescent="0.2">
      <c r="C133" s="184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49">
        <v>3661.0666666666666</v>
      </c>
      <c r="K133" s="249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8" x14ac:dyDescent="0.2">
      <c r="C134" s="184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49">
        <v>3662.0322580645161</v>
      </c>
      <c r="K134" s="249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138">
        <v>94120</v>
      </c>
    </row>
    <row r="135" spans="3:38" x14ac:dyDescent="0.2">
      <c r="C135" s="184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49">
        <v>3615.6451612903224</v>
      </c>
      <c r="K135" s="249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138">
        <v>94120</v>
      </c>
    </row>
    <row r="136" spans="3:38" x14ac:dyDescent="0.2">
      <c r="C136" s="184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49">
        <v>3657.0333333333333</v>
      </c>
      <c r="K136" s="249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8" x14ac:dyDescent="0.2">
      <c r="C137" s="184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49">
        <v>3615.483870967742</v>
      </c>
      <c r="K137" s="249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8" x14ac:dyDescent="0.2">
      <c r="C138" s="184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49">
        <v>3553.5666666666666</v>
      </c>
      <c r="K138" s="249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x14ac:dyDescent="0.2">
      <c r="C139" s="184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49">
        <v>3515</v>
      </c>
      <c r="K139" s="249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x14ac:dyDescent="0.2">
      <c r="C140" s="184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49">
        <v>3414</v>
      </c>
      <c r="K140" s="249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8" x14ac:dyDescent="0.2">
      <c r="C141" s="184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49">
        <v>3357</v>
      </c>
      <c r="K141" s="249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8" x14ac:dyDescent="0.2">
      <c r="C142" s="184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49">
        <v>3434.3225806451615</v>
      </c>
      <c r="K142" s="249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8" x14ac:dyDescent="0.2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49">
        <v>3363</v>
      </c>
      <c r="K143" s="249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8" x14ac:dyDescent="0.2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49">
        <v>3416</v>
      </c>
      <c r="K144" s="249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138">
        <v>111295</v>
      </c>
    </row>
    <row r="145" spans="3:40" x14ac:dyDescent="0.2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49">
        <v>3386</v>
      </c>
      <c r="K145" s="249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x14ac:dyDescent="0.2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49">
        <v>3353</v>
      </c>
      <c r="K146" s="249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4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49">
        <v>3355</v>
      </c>
      <c r="K147" s="249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40" x14ac:dyDescent="0.2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49">
        <v>3402</v>
      </c>
      <c r="K148" s="249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40" x14ac:dyDescent="0.2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49">
        <v>3320</v>
      </c>
      <c r="K149" s="249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40" x14ac:dyDescent="0.2">
      <c r="C150" s="184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49">
        <v>3087</v>
      </c>
      <c r="K150" s="257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40" x14ac:dyDescent="0.2">
      <c r="C151" s="184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49">
        <v>3053</v>
      </c>
      <c r="K151" s="257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138">
        <v>111295</v>
      </c>
    </row>
    <row r="152" spans="3:40" x14ac:dyDescent="0.2">
      <c r="C152" s="184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49">
        <v>3163.19</v>
      </c>
      <c r="K152" s="249"/>
      <c r="L152" s="148">
        <v>283.548</v>
      </c>
      <c r="M152" s="148">
        <v>12448.709150000001</v>
      </c>
      <c r="N152" s="156"/>
      <c r="O152" s="148">
        <v>1.419</v>
      </c>
      <c r="P152" s="156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138">
        <v>115581</v>
      </c>
    </row>
    <row r="153" spans="3:40" x14ac:dyDescent="0.2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57">
        <v>3199</v>
      </c>
      <c r="K153" s="257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40" x14ac:dyDescent="0.2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57">
        <v>3167</v>
      </c>
      <c r="K154" s="257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t="shared" ref="AJ154:AJ162" si="17">+AJ153</f>
        <v>115581</v>
      </c>
    </row>
    <row r="155" spans="3:40" x14ac:dyDescent="0.2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57">
        <v>3182</v>
      </c>
      <c r="K155" s="257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40" x14ac:dyDescent="0.2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49">
        <v>3146</v>
      </c>
      <c r="K156" s="249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40" x14ac:dyDescent="0.2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49">
        <v>3103</v>
      </c>
      <c r="K157" s="249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40" x14ac:dyDescent="0.2">
      <c r="C158" s="184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49">
        <v>3059.6451612903224</v>
      </c>
      <c r="K158" s="249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40" x14ac:dyDescent="0.2">
      <c r="C159" s="184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256">
        <f>93766/31</f>
        <v>3024.7096774193546</v>
      </c>
      <c r="K159" s="256"/>
      <c r="L159" s="148">
        <v>289.58064516129031</v>
      </c>
      <c r="M159" s="148">
        <f>403648/31</f>
        <v>13020.903225806451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40" x14ac:dyDescent="0.2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57">
        <v>2984</v>
      </c>
      <c r="K160" s="257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x14ac:dyDescent="0.2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49">
        <v>3008</v>
      </c>
      <c r="K161" s="249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x14ac:dyDescent="0.2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57">
        <v>2909</v>
      </c>
      <c r="K162" s="257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x14ac:dyDescent="0.2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49">
        <v>2685</v>
      </c>
      <c r="K163" s="249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x14ac:dyDescent="0.2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57">
        <v>2853</v>
      </c>
      <c r="K164" s="257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x14ac:dyDescent="0.2">
      <c r="C165" s="184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49">
        <f>80304/28</f>
        <v>2868</v>
      </c>
      <c r="K165" s="249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x14ac:dyDescent="0.2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49">
        <v>2812</v>
      </c>
      <c r="K166" s="249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138">
        <f>+AJ165</f>
        <v>113869</v>
      </c>
    </row>
    <row r="167" spans="3:36" x14ac:dyDescent="0.2">
      <c r="C167" s="184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256">
        <f>90267/30</f>
        <v>3008.9</v>
      </c>
      <c r="K167" s="256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x14ac:dyDescent="0.2">
      <c r="C168" s="184">
        <f t="shared" si="16"/>
        <v>2007.4166613000079</v>
      </c>
      <c r="D168" s="152">
        <v>39203</v>
      </c>
      <c r="E168" s="157">
        <f>27814/31</f>
        <v>897.22580645161293</v>
      </c>
      <c r="F168" s="157">
        <f>16066/31</f>
        <v>518.25806451612902</v>
      </c>
      <c r="G168" s="148">
        <f>33149/31</f>
        <v>1069.3225806451612</v>
      </c>
      <c r="H168" s="156">
        <f>44764/31</f>
        <v>1444</v>
      </c>
      <c r="I168" s="157">
        <f>6754/31</f>
        <v>217.87096774193549</v>
      </c>
      <c r="J168" s="256">
        <f>91935/31</f>
        <v>2965.6451612903224</v>
      </c>
      <c r="K168" s="256"/>
      <c r="L168" s="157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x14ac:dyDescent="0.2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512.06666666666672</v>
      </c>
      <c r="G169" s="148">
        <f>27660/30</f>
        <v>922</v>
      </c>
      <c r="H169" s="157">
        <f>43522/30</f>
        <v>1450.7333333333333</v>
      </c>
      <c r="I169" s="157">
        <v>169.7</v>
      </c>
      <c r="J169" s="256">
        <f>87309/30</f>
        <v>2910.3</v>
      </c>
      <c r="K169" s="256"/>
      <c r="L169" s="157">
        <v>272.10000000000002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70.833333333333329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t="shared" ref="AJ169:AJ175" si="18">+AJ168</f>
        <v>113869</v>
      </c>
    </row>
    <row r="170" spans="3:36" x14ac:dyDescent="0.2">
      <c r="C170" s="184">
        <f t="shared" si="16"/>
        <v>2007.583327900008</v>
      </c>
      <c r="D170" s="152">
        <v>39264</v>
      </c>
      <c r="E170" s="157">
        <f>27640/31</f>
        <v>891.61290322580646</v>
      </c>
      <c r="F170" s="157">
        <v>560</v>
      </c>
      <c r="G170" s="157">
        <v>908.22580645161293</v>
      </c>
      <c r="H170" s="157">
        <f>44203/31</f>
        <v>1425.9032258064517</v>
      </c>
      <c r="I170" s="157">
        <v>143.58064516129033</v>
      </c>
      <c r="J170" s="256">
        <f>90019/31</f>
        <v>2903.8387096774195</v>
      </c>
      <c r="K170" s="256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62.967741935483872</v>
      </c>
      <c r="S170" s="157">
        <f>346162/31</f>
        <v>11166.516129032258</v>
      </c>
      <c r="T170" s="157"/>
      <c r="U170" s="157">
        <f>535440/31</f>
        <v>17272.258064516129</v>
      </c>
      <c r="V170" s="157"/>
      <c r="W170" s="157">
        <f>837386/31</f>
        <v>27012.451612903227</v>
      </c>
      <c r="X170" s="157">
        <f>1133924/31</f>
        <v>36578.193548387098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x14ac:dyDescent="0.2">
      <c r="C171" s="184">
        <f t="shared" si="16"/>
        <v>2007.6666612000081</v>
      </c>
      <c r="D171" s="152">
        <v>39295</v>
      </c>
      <c r="E171" s="157">
        <f>24742/31</f>
        <v>798.12903225806451</v>
      </c>
      <c r="F171" s="157">
        <v>590.29032258064512</v>
      </c>
      <c r="G171" s="157">
        <v>947.35483870967744</v>
      </c>
      <c r="H171" s="157">
        <f>57029/31</f>
        <v>1839.6451612903227</v>
      </c>
      <c r="I171" s="157">
        <v>137.2258064516129</v>
      </c>
      <c r="J171" s="256">
        <f>89184/31</f>
        <v>2876.9032258064517</v>
      </c>
      <c r="K171" s="256"/>
      <c r="L171" s="157">
        <v>268.32258064516128</v>
      </c>
      <c r="M171" s="157">
        <f>411277/31</f>
        <v>13267</v>
      </c>
      <c r="N171" s="157"/>
      <c r="O171" s="157">
        <v>0.77419354838709675</v>
      </c>
      <c r="P171" s="157"/>
      <c r="Q171" s="157">
        <v>18.774193548387096</v>
      </c>
      <c r="R171" s="157">
        <v>54.29032258064516</v>
      </c>
      <c r="S171" s="157">
        <f>301436/31</f>
        <v>9723.7419354838712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27186.903225806451</v>
      </c>
      <c r="Y171" s="157"/>
      <c r="Z171" s="157"/>
      <c r="AA171" s="157">
        <v>671.09677419354841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x14ac:dyDescent="0.2">
      <c r="C172" s="184">
        <f t="shared" si="16"/>
        <v>2007.7499945000081</v>
      </c>
      <c r="D172" s="152">
        <v>39326</v>
      </c>
      <c r="E172" s="157">
        <f>25027/30</f>
        <v>834.23333333333335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56">
        <f>86428/30</f>
        <v>2880.9333333333334</v>
      </c>
      <c r="K172" s="256"/>
      <c r="L172" s="157">
        <f>8015/30</f>
        <v>267.16666666666669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x14ac:dyDescent="0.2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546.64516129032256</v>
      </c>
      <c r="G173" s="157">
        <f>40251/31</f>
        <v>1298.4193548387098</v>
      </c>
      <c r="H173" s="157">
        <f>60333/31</f>
        <v>1946.2258064516129</v>
      </c>
      <c r="I173" s="157">
        <v>165.35483870967741</v>
      </c>
      <c r="J173" s="256">
        <f>87919/31</f>
        <v>2836.0967741935483</v>
      </c>
      <c r="K173" s="256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42.612903225806448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x14ac:dyDescent="0.2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56">
        <f>84130/30</f>
        <v>2804.3333333333335</v>
      </c>
      <c r="K174" s="256"/>
      <c r="L174" s="157">
        <f>7857/30</f>
        <v>261.89999999999998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x14ac:dyDescent="0.2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674.93548387096769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56">
        <f>82208/31</f>
        <v>2651.8709677419356</v>
      </c>
      <c r="K175" s="256"/>
      <c r="L175" s="157">
        <f>7761/31</f>
        <v>250.35483870967741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927.25806451612902</v>
      </c>
      <c r="U175" s="157">
        <f>531766/31</f>
        <v>17153.741935483871</v>
      </c>
      <c r="V175" s="157"/>
      <c r="W175" s="157">
        <f>756499/31</f>
        <v>24403.193548387098</v>
      </c>
      <c r="X175" s="157">
        <f>1115578/31</f>
        <v>35986.387096774197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118235.77419354839</v>
      </c>
      <c r="AJ175" s="138">
        <f t="shared" si="18"/>
        <v>113869</v>
      </c>
    </row>
    <row r="176" spans="3:36" x14ac:dyDescent="0.2">
      <c r="C176" s="184">
        <f t="shared" si="16"/>
        <v>2008.0833277000083</v>
      </c>
      <c r="D176" s="152">
        <v>39448</v>
      </c>
      <c r="E176" s="157">
        <f>27460/31</f>
        <v>885.80645161290317</v>
      </c>
      <c r="F176" s="157">
        <f>19191/31</f>
        <v>619.06451612903231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56">
        <f>86419/31</f>
        <v>2787.7096774193546</v>
      </c>
      <c r="K176" s="256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944.32258064516134</v>
      </c>
      <c r="U176" s="157">
        <f>523996/31</f>
        <v>16903.096774193549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344.25806451612902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x14ac:dyDescent="0.2">
      <c r="C177" s="184">
        <f t="shared" si="16"/>
        <v>2008.1666610000084</v>
      </c>
      <c r="D177" s="152">
        <v>39479</v>
      </c>
      <c r="E177" s="157">
        <f>24932/29</f>
        <v>859.72413793103453</v>
      </c>
      <c r="F177" s="157">
        <f>18208/29</f>
        <v>627.86206896551721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56">
        <f>74593/29</f>
        <v>2572.1724137931033</v>
      </c>
      <c r="K177" s="256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19.931034482758619</v>
      </c>
      <c r="R177" s="156">
        <f>1189/29</f>
        <v>41</v>
      </c>
      <c r="S177" s="157">
        <f>311917/29</f>
        <v>10755.758620689656</v>
      </c>
      <c r="T177" s="157">
        <f>27704/29</f>
        <v>955.31034482758616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34713.448275862072</v>
      </c>
      <c r="Y177" s="157"/>
      <c r="Z177" s="157"/>
      <c r="AA177" s="157">
        <f>11246/29</f>
        <v>387.79310344827587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t="shared" ref="AJ177:AJ187" si="19">+AJ176</f>
        <v>120028</v>
      </c>
    </row>
    <row r="178" spans="3:36" x14ac:dyDescent="0.2">
      <c r="C178" s="184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49">
        <f>85577/31</f>
        <v>2760.5483870967741</v>
      </c>
      <c r="K178" s="249"/>
      <c r="L178" s="148">
        <v>253.64516129032259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138">
        <f t="shared" si="19"/>
        <v>120028</v>
      </c>
    </row>
    <row r="179" spans="3:36" x14ac:dyDescent="0.2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49">
        <f>82758/30</f>
        <v>2758.6</v>
      </c>
      <c r="K179" s="249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18.899999999999999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x14ac:dyDescent="0.2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256">
        <f>85851/31</f>
        <v>2769.3870967741937</v>
      </c>
      <c r="K180" s="256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38.967741935483872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x14ac:dyDescent="0.2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256">
        <f>87560/30</f>
        <v>2918.6666666666665</v>
      </c>
      <c r="K181" s="256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34.466666666666669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x14ac:dyDescent="0.2">
      <c r="C182" s="184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56">
        <f>88738/31</f>
        <v>2862.516129032258</v>
      </c>
      <c r="K182" s="256"/>
      <c r="L182" s="148">
        <v>274.87096774193549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x14ac:dyDescent="0.2">
      <c r="C183" s="184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49">
        <f>88926/31</f>
        <v>2868.5806451612902</v>
      </c>
      <c r="K183" s="249"/>
      <c r="L183" s="148">
        <v>271.54838709677421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x14ac:dyDescent="0.2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49">
        <f>86401/30</f>
        <v>2880.0333333333333</v>
      </c>
      <c r="K184" s="249"/>
      <c r="L184" s="148">
        <v>267.36666666666667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x14ac:dyDescent="0.2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49">
        <v>2812</v>
      </c>
      <c r="K185" s="249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138">
        <f t="shared" si="19"/>
        <v>120028</v>
      </c>
    </row>
    <row r="186" spans="3:36" x14ac:dyDescent="0.2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49">
        <f>80326/30</f>
        <v>2677.5333333333333</v>
      </c>
      <c r="K186" s="249"/>
      <c r="L186" s="148">
        <f>8778/30</f>
        <v>292.60000000000002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x14ac:dyDescent="0.2">
      <c r="C187" s="184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49">
        <f>79547/31</f>
        <v>2566.0322580645161</v>
      </c>
      <c r="K187" s="249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x14ac:dyDescent="0.2">
      <c r="C188" s="184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49">
        <f>84836/31</f>
        <v>2736.6451612903224</v>
      </c>
      <c r="K188" s="249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138">
        <v>145280</v>
      </c>
    </row>
    <row r="189" spans="3:36" x14ac:dyDescent="0.2">
      <c r="C189" s="184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49">
        <f>77894/28</f>
        <v>2781.9285714285716</v>
      </c>
      <c r="K189" s="249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138">
        <f t="shared" ref="AJ189:AJ207" si="21">+AJ188</f>
        <v>145280</v>
      </c>
    </row>
    <row r="190" spans="3:36" x14ac:dyDescent="0.2">
      <c r="C190" s="184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49">
        <f>85996/31</f>
        <v>2774.0645161290322</v>
      </c>
      <c r="K190" s="249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x14ac:dyDescent="0.2">
      <c r="C191" s="184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49">
        <f>79835/30</f>
        <v>2661.1666666666665</v>
      </c>
      <c r="K191" s="249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x14ac:dyDescent="0.2">
      <c r="C192" s="184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49">
        <f>85955/31</f>
        <v>2772.7419354838707</v>
      </c>
      <c r="K192" s="249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63" x14ac:dyDescent="0.2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49">
        <f>83911/30</f>
        <v>2797.0333333333333</v>
      </c>
      <c r="K193" s="249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63" x14ac:dyDescent="0.2">
      <c r="C194" s="184">
        <f t="shared" si="20"/>
        <v>2009.5833271000092</v>
      </c>
      <c r="D194" s="152">
        <v>39995</v>
      </c>
      <c r="E194" s="148">
        <f>24682/31</f>
        <v>796.19354838709683</v>
      </c>
      <c r="F194" s="159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49">
        <f>84624/31</f>
        <v>2729.8064516129034</v>
      </c>
      <c r="K194" s="249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63" x14ac:dyDescent="0.2">
      <c r="C195" s="184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49">
        <f>90419/31</f>
        <v>2916.7419354838707</v>
      </c>
      <c r="K195" s="249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138">
        <f t="shared" si="21"/>
        <v>145280</v>
      </c>
    </row>
    <row r="196" spans="3:63" x14ac:dyDescent="0.2">
      <c r="C196" s="184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49">
        <f>90750/30</f>
        <v>3025</v>
      </c>
      <c r="K196" s="249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63" x14ac:dyDescent="0.2">
      <c r="C197" s="184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49">
        <f>107300/31</f>
        <v>3461.2903225806454</v>
      </c>
      <c r="K197" s="249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63" x14ac:dyDescent="0.2">
      <c r="C198" s="184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49">
        <f>108534/30</f>
        <v>3617.8</v>
      </c>
      <c r="K198" s="249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63" x14ac:dyDescent="0.2">
      <c r="C199" s="184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49">
        <f>103950/31</f>
        <v>3353.2258064516127</v>
      </c>
      <c r="K199" s="249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138">
        <f t="shared" si="21"/>
        <v>145280</v>
      </c>
    </row>
    <row r="200" spans="3:63" x14ac:dyDescent="0.2">
      <c r="C200" s="184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49">
        <f>120268/31</f>
        <v>3879.6129032258063</v>
      </c>
      <c r="K200" s="249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63" s="138" customFormat="1" x14ac:dyDescent="0.2">
      <c r="C201" s="184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49">
        <f>93325/28</f>
        <v>3333.0357142857142</v>
      </c>
      <c r="K201" s="249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63" s="138" customFormat="1" x14ac:dyDescent="0.2">
      <c r="C202" s="184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49">
        <f>109834/31</f>
        <v>3543.0322580645161</v>
      </c>
      <c r="K202" s="249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63" s="138" customFormat="1" x14ac:dyDescent="0.2">
      <c r="C203" s="184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49">
        <f>110030/30</f>
        <v>3667.6666666666665</v>
      </c>
      <c r="K203" s="249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160">
        <f t="shared" si="21"/>
        <v>157159</v>
      </c>
    </row>
    <row r="204" spans="3:63" x14ac:dyDescent="0.2">
      <c r="C204" s="184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49">
        <f>97085/31</f>
        <v>3131.7741935483873</v>
      </c>
      <c r="K204" s="249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63" x14ac:dyDescent="0.2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49">
        <f>106530/30</f>
        <v>3551</v>
      </c>
      <c r="K205" s="249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160">
        <f t="shared" si="21"/>
        <v>157159</v>
      </c>
    </row>
    <row r="206" spans="3:63" x14ac:dyDescent="0.2">
      <c r="C206" s="184">
        <f t="shared" ref="C206:C269" si="22">+C205+0.0833333</f>
        <v>2010.5833267000098</v>
      </c>
      <c r="D206" s="152">
        <v>40360</v>
      </c>
      <c r="E206" s="163">
        <f>33330/31</f>
        <v>1075.1612903225807</v>
      </c>
      <c r="F206" s="163">
        <v>575.70967741935488</v>
      </c>
      <c r="G206" s="163">
        <f>65941/31</f>
        <v>2127.1290322580644</v>
      </c>
      <c r="H206" s="163">
        <v>939.22580645161293</v>
      </c>
      <c r="I206" s="163">
        <v>195.7741935483871</v>
      </c>
      <c r="J206" s="249">
        <f>91473/31</f>
        <v>2950.7419354838707</v>
      </c>
      <c r="K206" s="249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4435.9677419354839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333.58064516129031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157015.80645161291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4">
        <f t="shared" si="22"/>
        <v>2010.6666600000099</v>
      </c>
      <c r="D207" s="152">
        <v>40391</v>
      </c>
      <c r="E207" s="163">
        <v>972.25806451612902</v>
      </c>
      <c r="F207" s="163">
        <f>17801/31</f>
        <v>574.22580645161293</v>
      </c>
      <c r="G207" s="163">
        <f>69904/31</f>
        <v>2254.9677419354839</v>
      </c>
      <c r="H207" s="163">
        <f>29581/31</f>
        <v>954.22580645161293</v>
      </c>
      <c r="I207" s="163">
        <f>6124/31</f>
        <v>197.54838709677421</v>
      </c>
      <c r="J207" s="249">
        <f>81817/31</f>
        <v>2639.2580645161293</v>
      </c>
      <c r="K207" s="249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19058.806451612902</v>
      </c>
      <c r="X207" s="163">
        <f>1548446/31</f>
        <v>49949.870967741932</v>
      </c>
      <c r="Y207" s="163">
        <f>1026096/31</f>
        <v>33099.870967741932</v>
      </c>
      <c r="Z207" s="163"/>
      <c r="AA207" s="163">
        <f>11781/31</f>
        <v>380.03225806451616</v>
      </c>
      <c r="AB207" s="163">
        <f>2959/31</f>
        <v>95.451612903225808</v>
      </c>
      <c r="AC207" s="163">
        <f>80415/31</f>
        <v>2594.0322580645161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4">
        <f t="shared" si="22"/>
        <v>2010.7499933000099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940.56666666666672</v>
      </c>
      <c r="I208" s="163">
        <v>178.63333333333333</v>
      </c>
      <c r="J208" s="249">
        <f>80223/30</f>
        <v>2674.1</v>
      </c>
      <c r="K208" s="249"/>
      <c r="L208" s="163">
        <v>245.9</v>
      </c>
      <c r="M208" s="163">
        <f>396069/30</f>
        <v>13202.3</v>
      </c>
      <c r="N208" s="163"/>
      <c r="O208" s="163">
        <f>117277/30</f>
        <v>3909.2333333333331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6548.7666666666664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33191.199999999997</v>
      </c>
      <c r="Z208" s="163"/>
      <c r="AA208" s="163">
        <v>289.3</v>
      </c>
      <c r="AB208" s="163">
        <v>96.13333333333334</v>
      </c>
      <c r="AC208" s="163">
        <f>63936/30</f>
        <v>2131.1999999999998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49">
        <f>87966/31</f>
        <v>2837.6129032258063</v>
      </c>
      <c r="K209" s="249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52.322580645161288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17957.806451612902</v>
      </c>
      <c r="X209" s="163">
        <f>1503939/31</f>
        <v>48514.161290322583</v>
      </c>
      <c r="Y209" s="163">
        <f>1045986/31</f>
        <v>33741.483870967742</v>
      </c>
      <c r="Z209" s="163"/>
      <c r="AA209" s="163">
        <v>318.41935483870969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581.76666666666665</v>
      </c>
      <c r="G210" s="163">
        <f>106206/30</f>
        <v>3540.2</v>
      </c>
      <c r="H210" s="163">
        <v>953.1</v>
      </c>
      <c r="I210" s="163">
        <v>182.66666666666666</v>
      </c>
      <c r="J210" s="249">
        <f>87026/30</f>
        <v>2900.8666666666668</v>
      </c>
      <c r="K210" s="249"/>
      <c r="L210" s="163">
        <v>233.2</v>
      </c>
      <c r="M210" s="163">
        <f>394580/30</f>
        <v>13152.666666666666</v>
      </c>
      <c r="N210" s="163"/>
      <c r="O210" s="163">
        <f>95464/30</f>
        <v>3182.1333333333332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4339.4666666666662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35258.633333333331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63" x14ac:dyDescent="0.2">
      <c r="C211" s="184">
        <f t="shared" si="22"/>
        <v>2010.9999932000101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49">
        <v>2743</v>
      </c>
      <c r="K211" s="249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63" x14ac:dyDescent="0.2">
      <c r="C212" s="184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49">
        <f>84980/31</f>
        <v>2741.2903225806454</v>
      </c>
      <c r="K212" s="249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160">
        <v>152716</v>
      </c>
    </row>
    <row r="213" spans="3:63" x14ac:dyDescent="0.2">
      <c r="C213" s="184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49">
        <f>81774/28</f>
        <v>2920.5</v>
      </c>
      <c r="K213" s="249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63" x14ac:dyDescent="0.2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49">
        <f>87762/31</f>
        <v>2831.0322580645161</v>
      </c>
      <c r="K214" s="249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49">
        <f>82573/30</f>
        <v>2752.4333333333334</v>
      </c>
      <c r="K215" s="249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49">
        <v>2798</v>
      </c>
      <c r="K216" s="249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63" x14ac:dyDescent="0.2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49">
        <f>88734/30</f>
        <v>2957.8</v>
      </c>
      <c r="K217" s="249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49">
        <f>94911/31</f>
        <v>3061.6451612903224</v>
      </c>
      <c r="K218" s="249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4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49">
        <f>97382/31</f>
        <v>3141.3548387096776</v>
      </c>
      <c r="K219" s="249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49">
        <f>97457/30</f>
        <v>3248.5666666666666</v>
      </c>
      <c r="K220" s="249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4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49">
        <f>99680/31</f>
        <v>3215.483870967742</v>
      </c>
      <c r="K221" s="249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49">
        <f>104127/30</f>
        <v>3470.9</v>
      </c>
      <c r="K222" s="249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469.87096774193549</v>
      </c>
      <c r="G223" s="164">
        <v>3234.2258064516127</v>
      </c>
      <c r="H223" s="164">
        <v>830.51612903225805</v>
      </c>
      <c r="I223" s="164">
        <v>162.83870967741936</v>
      </c>
      <c r="J223" s="252">
        <v>3436</v>
      </c>
      <c r="K223" s="252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9883.5483870967746</v>
      </c>
      <c r="V223" s="164"/>
      <c r="W223" s="164">
        <v>16629.193548387098</v>
      </c>
      <c r="X223" s="164">
        <v>36491.419354838712</v>
      </c>
      <c r="Y223" s="164">
        <v>39760.870967741932</v>
      </c>
      <c r="Z223" s="164"/>
      <c r="AA223" s="164">
        <v>443.93548387096774</v>
      </c>
      <c r="AB223" s="164">
        <v>113.87096774193549</v>
      </c>
      <c r="AC223" s="164">
        <v>2495.0322580645161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4">
        <f t="shared" si="22"/>
        <v>2012.0833261000107</v>
      </c>
      <c r="D224" s="152">
        <v>40909</v>
      </c>
      <c r="E224" s="165">
        <v>1078.0322580645161</v>
      </c>
      <c r="F224" s="166">
        <v>471.90322580645159</v>
      </c>
      <c r="G224" s="166">
        <v>2785.7741935483873</v>
      </c>
      <c r="H224" s="166">
        <v>824.25806451612902</v>
      </c>
      <c r="I224" s="166">
        <v>157.48387096774192</v>
      </c>
      <c r="J224" s="255">
        <v>3291.6451612903202</v>
      </c>
      <c r="K224" s="255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33177.258064516129</v>
      </c>
      <c r="Z224" s="166"/>
      <c r="AA224" s="166">
        <v>370.54838709677421</v>
      </c>
      <c r="AB224" s="166">
        <v>80.870967741935488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49">
        <f>83102/29</f>
        <v>2865.5862068965516</v>
      </c>
      <c r="K225" s="249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49">
        <f>99764/31</f>
        <v>3218.1935483870966</v>
      </c>
      <c r="K226" s="249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4">
        <f t="shared" si="22"/>
        <v>2012.3333260000109</v>
      </c>
      <c r="D227" s="152">
        <v>41000</v>
      </c>
      <c r="E227" s="167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49">
        <v>3018.4333333333334</v>
      </c>
      <c r="K227" s="249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4">
        <f t="shared" si="22"/>
        <v>2012.4166593000109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49">
        <v>3254.4193548387102</v>
      </c>
      <c r="K228" s="249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49">
        <v>3280.2</v>
      </c>
      <c r="K229" s="249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49">
        <v>3272.1612903225805</v>
      </c>
      <c r="K230" s="249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4">
        <f t="shared" si="22"/>
        <v>2012.6666592000111</v>
      </c>
      <c r="D231" s="152">
        <v>41122</v>
      </c>
      <c r="E231" s="167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49">
        <v>3518.0322580645202</v>
      </c>
      <c r="K231" s="249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4">
        <f t="shared" si="22"/>
        <v>2012.7499925000111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49">
        <v>3496</v>
      </c>
      <c r="K232" s="249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4">
        <f t="shared" si="22"/>
        <v>2012.8333258000112</v>
      </c>
      <c r="D233" s="152">
        <v>41183</v>
      </c>
      <c r="E233" s="167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49">
        <f>113288/31</f>
        <v>3654.4516129032259</v>
      </c>
      <c r="K233" s="249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49">
        <v>3587</v>
      </c>
      <c r="K234" s="249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750.80645161290317</v>
      </c>
      <c r="I235" s="164">
        <v>147.25806451612902</v>
      </c>
      <c r="J235" s="252">
        <v>3640.741935</v>
      </c>
      <c r="K235" s="252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92.483870967741936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8955.4838709677424</v>
      </c>
      <c r="V235" s="164"/>
      <c r="W235" s="164">
        <v>15099.451612903225</v>
      </c>
      <c r="X235" s="164">
        <v>60833.161290322583</v>
      </c>
      <c r="Y235" s="164">
        <v>35531.870967741932</v>
      </c>
      <c r="Z235" s="164"/>
      <c r="AA235" s="164">
        <v>302.12903225806451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-304.96774241933599</v>
      </c>
    </row>
    <row r="236" spans="3:44" x14ac:dyDescent="0.2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52">
        <f>104345/31</f>
        <v>3365.9677419354839</v>
      </c>
      <c r="K236" s="252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747.00000048385118</v>
      </c>
    </row>
    <row r="237" spans="3:44" x14ac:dyDescent="0.2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52">
        <f>98920/28</f>
        <v>3532.8571428571427</v>
      </c>
      <c r="K237" s="25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138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52">
        <f>93904/31</f>
        <v>3029.1612903225805</v>
      </c>
      <c r="K238" s="252"/>
      <c r="L238" s="148">
        <f>6524/31</f>
        <v>210.45161290322579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3">
        <f>1277480/31</f>
        <v>41209.032258064515</v>
      </c>
      <c r="Z238" s="163"/>
      <c r="AA238" s="163">
        <v>383.41935483870969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404.54838709677421</v>
      </c>
      <c r="AH238" s="163"/>
      <c r="AI238" s="148">
        <f t="shared" ref="AI238:AI252" si="30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44" x14ac:dyDescent="0.2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716.43333333333328</v>
      </c>
      <c r="I239" s="156">
        <f>3585/30</f>
        <v>119.5</v>
      </c>
      <c r="J239" s="250">
        <f>95861/30</f>
        <v>3195.3666666666668</v>
      </c>
      <c r="K239" s="251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4038.2333333333331</v>
      </c>
      <c r="P239" s="156"/>
      <c r="Q239" s="156">
        <f>2672/30</f>
        <v>89.066666666666663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9345.2666666666664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76.666666666666671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703.09677419354841</v>
      </c>
      <c r="I240" s="158">
        <f>3925/31</f>
        <v>126.61290322580645</v>
      </c>
      <c r="J240" s="250">
        <f>109894/31</f>
        <v>3544.9677419354839</v>
      </c>
      <c r="K240" s="251"/>
      <c r="L240" s="156">
        <f>6351/31</f>
        <v>204.87096774193549</v>
      </c>
      <c r="M240" s="157">
        <f>388960/31</f>
        <v>12547.096774193549</v>
      </c>
      <c r="N240" s="157"/>
      <c r="O240" s="157">
        <f>136474/31</f>
        <v>4402.3870967741932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2130.0645161290322</v>
      </c>
      <c r="U240" s="170">
        <f>327381/31</f>
        <v>10560.677419354839</v>
      </c>
      <c r="V240" s="170"/>
      <c r="W240" s="170">
        <f>454705/31</f>
        <v>14667.903225806451</v>
      </c>
      <c r="X240" s="170">
        <f>1987288/31</f>
        <v>64106.06451612903</v>
      </c>
      <c r="Y240" s="170">
        <f>1210405/31</f>
        <v>39045.322580645159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164.45161290322579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9" x14ac:dyDescent="0.2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742.16666666666663</v>
      </c>
      <c r="I241" s="157">
        <f>3841/30</f>
        <v>128.03333333333333</v>
      </c>
      <c r="J241" s="250">
        <f>92416/30</f>
        <v>3080.5333333333333</v>
      </c>
      <c r="K241" s="251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5201.5333333333338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9896.0333333333328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2523.3666666666668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9" x14ac:dyDescent="0.2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562.38709677419354</v>
      </c>
      <c r="I242" s="157">
        <f>4505/31</f>
        <v>145.32258064516128</v>
      </c>
      <c r="J242" s="250">
        <f>112945/31</f>
        <v>3643.3870967741937</v>
      </c>
      <c r="K242" s="251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88.225806451612897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9517.5161290322576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263.41935483870969</v>
      </c>
      <c r="AB242" s="170">
        <v>92.129032258064512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-8089.1301075269585</v>
      </c>
    </row>
    <row r="243" spans="3:39" x14ac:dyDescent="0.2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437.74193548387098</v>
      </c>
      <c r="G243" s="157">
        <f>61100/31</f>
        <v>1970.9677419354839</v>
      </c>
      <c r="H243" s="157">
        <f>28127/31</f>
        <v>907.32258064516134</v>
      </c>
      <c r="I243" s="157">
        <f>4088/31</f>
        <v>131.87096774193549</v>
      </c>
      <c r="J243" s="250">
        <f>115529/31</f>
        <v>3726.7419354838707</v>
      </c>
      <c r="K243" s="251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85.774193548387103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9667.4516129032254</v>
      </c>
      <c r="V243" s="170"/>
      <c r="W243" s="170">
        <f>471975/31</f>
        <v>15225</v>
      </c>
      <c r="X243" s="170">
        <f>2082905/31</f>
        <v>67190.483870967742</v>
      </c>
      <c r="Y243" s="170">
        <f>1181110/31</f>
        <v>38100.322580645159</v>
      </c>
      <c r="Z243" s="170"/>
      <c r="AA243" s="170">
        <v>373.09677419354841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x14ac:dyDescent="0.2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50">
        <f>111777/30</f>
        <v>3725.9</v>
      </c>
      <c r="K244" s="251"/>
      <c r="L244" s="157">
        <v>206.2</v>
      </c>
      <c r="M244" s="157">
        <f>289230/30</f>
        <v>9641</v>
      </c>
      <c r="N244" s="157"/>
      <c r="O244" s="157">
        <f>181478/30</f>
        <v>6049.2666666666664</v>
      </c>
      <c r="P244" s="157"/>
      <c r="Q244" s="157">
        <v>88.466666666666669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8753.7999999999993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2214.3666666666668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430.22580645161293</v>
      </c>
      <c r="G245" s="157">
        <f>52513/31</f>
        <v>1693.9677419354839</v>
      </c>
      <c r="H245" s="157">
        <f>21460/31</f>
        <v>692.25806451612902</v>
      </c>
      <c r="I245" s="157">
        <f>4285/31</f>
        <v>138.2258064516129</v>
      </c>
      <c r="J245" s="250">
        <f>110419/31</f>
        <v>3561.9032258064517</v>
      </c>
      <c r="K245" s="251"/>
      <c r="L245" s="157">
        <f>6326/31</f>
        <v>204.06451612903226</v>
      </c>
      <c r="M245" s="157">
        <f>293206/31</f>
        <v>9458.2580645161288</v>
      </c>
      <c r="N245" s="157"/>
      <c r="O245" s="157">
        <f>158448/31</f>
        <v>5111.2258064516127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999.19354838709683</v>
      </c>
      <c r="U245" s="170">
        <f>309727/31</f>
        <v>9991.1935483870966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285.90322580645159</v>
      </c>
      <c r="AB245" s="170">
        <v>97.612903225806448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50">
        <f>105792/30</f>
        <v>3526.4</v>
      </c>
      <c r="K246" s="251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3829.6333333333332</v>
      </c>
      <c r="U246" s="163">
        <f>296319/30</f>
        <v>9877.2999999999993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36941.466666666667</v>
      </c>
      <c r="Z246" s="163"/>
      <c r="AA246" s="163">
        <v>209.96666666666667</v>
      </c>
      <c r="AB246" s="163">
        <v>90.833333333333329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9" x14ac:dyDescent="0.2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434.54838709677421</v>
      </c>
      <c r="G247" s="157">
        <f>65913/31</f>
        <v>2126.2258064516127</v>
      </c>
      <c r="H247" s="157">
        <f>20252/31</f>
        <v>653.29032258064512</v>
      </c>
      <c r="I247" s="157">
        <f>4072/31</f>
        <v>131.35483870967741</v>
      </c>
      <c r="J247" s="250">
        <f>110534/31</f>
        <v>3565.6129032258063</v>
      </c>
      <c r="K247" s="251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7099.2580645161288</v>
      </c>
      <c r="P247" s="156"/>
      <c r="Q247" s="157">
        <f>2547/31</f>
        <v>82.161290322580641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37645.838709677417</v>
      </c>
      <c r="Z247" s="163"/>
      <c r="AA247" s="163">
        <v>400.96774193548384</v>
      </c>
      <c r="AB247" s="163">
        <v>125.64516129032258</v>
      </c>
      <c r="AC247" s="163">
        <f>72325/31</f>
        <v>2333.0645161290322</v>
      </c>
      <c r="AD247" s="163">
        <v>463.32258064516128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9" x14ac:dyDescent="0.2">
      <c r="C248" s="184">
        <f t="shared" si="22"/>
        <v>2014.0833253000119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680.19354838709683</v>
      </c>
      <c r="I248" s="174">
        <f>4005/31</f>
        <v>129.19354838709677</v>
      </c>
      <c r="J248" s="253">
        <f>110291/31</f>
        <v>3557.7741935483873</v>
      </c>
      <c r="K248" s="254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7579.7096774193551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52452.870967741932</v>
      </c>
      <c r="Y248" s="174">
        <f>1133917/31</f>
        <v>36577.967741935485</v>
      </c>
      <c r="Z248" s="174"/>
      <c r="AA248" s="174">
        <v>226.41935483870967</v>
      </c>
      <c r="AB248" s="174">
        <v>86.935483870967744</v>
      </c>
      <c r="AC248" s="174">
        <f>67456/31</f>
        <v>2176</v>
      </c>
      <c r="AD248" s="174">
        <f>42864/31</f>
        <v>1382.7096774193549</v>
      </c>
      <c r="AE248" s="174">
        <v>70.354838709677423</v>
      </c>
      <c r="AF248" s="174"/>
      <c r="AG248" s="174"/>
      <c r="AH248" s="175"/>
      <c r="AI248" s="148">
        <f t="shared" si="30"/>
        <v>156656.38709677418</v>
      </c>
      <c r="AJ248" s="211">
        <f>63046641/365</f>
        <v>172730.52328767124</v>
      </c>
      <c r="AK248" s="138">
        <f t="shared" si="28"/>
        <v>-12182.903225806454</v>
      </c>
    </row>
    <row r="249" spans="3:39" x14ac:dyDescent="0.2">
      <c r="C249" s="184">
        <f t="shared" si="22"/>
        <v>2014.1666586000119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685.28571428571433</v>
      </c>
      <c r="I249" s="174">
        <f>3547/28</f>
        <v>126.67857142857143</v>
      </c>
      <c r="J249" s="253">
        <f>101369/28</f>
        <v>3620.3214285714284</v>
      </c>
      <c r="K249" s="254"/>
      <c r="L249" s="174">
        <f>5722/28</f>
        <v>204.35714285714286</v>
      </c>
      <c r="M249" s="174">
        <f>293739/28</f>
        <v>10490.678571428571</v>
      </c>
      <c r="N249" s="174"/>
      <c r="O249" s="174">
        <f>185497/28</f>
        <v>6624.8928571428569</v>
      </c>
      <c r="P249" s="174"/>
      <c r="Q249" s="174">
        <f>1952/28</f>
        <v>69.714285714285708</v>
      </c>
      <c r="R249" s="174">
        <f>831/28</f>
        <v>29.678571428571427</v>
      </c>
      <c r="S249" s="175">
        <f>+(270203+36010)/28</f>
        <v>10936.178571428571</v>
      </c>
      <c r="T249" s="175">
        <f>198440/28</f>
        <v>7087.1428571428569</v>
      </c>
      <c r="U249" s="175">
        <f>273846/28</f>
        <v>9780.2142857142862</v>
      </c>
      <c r="V249" s="175"/>
      <c r="W249" s="175">
        <f>406684/28</f>
        <v>14524.428571428571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303.96428571428572</v>
      </c>
      <c r="AB249" s="175">
        <v>78.607142857142861</v>
      </c>
      <c r="AC249" s="175">
        <f>60777/28</f>
        <v>2170.6071428571427</v>
      </c>
      <c r="AD249" s="175">
        <f>94887/28</f>
        <v>3388.8214285714284</v>
      </c>
      <c r="AE249" s="175">
        <v>409.53571428571428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17354.791474654339</v>
      </c>
    </row>
    <row r="250" spans="3:39" x14ac:dyDescent="0.2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668.54838709677415</v>
      </c>
      <c r="I250" s="174">
        <v>129.12903225806451</v>
      </c>
      <c r="J250" s="253">
        <f>112963/31</f>
        <v>3643.9677419354839</v>
      </c>
      <c r="K250" s="254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7085.0967741935483</v>
      </c>
      <c r="P250" s="174"/>
      <c r="Q250" s="174">
        <f>2452/31</f>
        <v>79.096774193548384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5222.8064516129034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62449.193548387098</v>
      </c>
      <c r="Y250" s="175">
        <f>1238318/31</f>
        <v>39945.741935483871</v>
      </c>
      <c r="Z250" s="175">
        <f>37922/31</f>
        <v>1223.2903225806451</v>
      </c>
      <c r="AA250" s="175">
        <v>297.87096774193549</v>
      </c>
      <c r="AB250" s="175">
        <v>79.967741935483872</v>
      </c>
      <c r="AC250" s="175">
        <f>74828/31</f>
        <v>2413.8064516129034</v>
      </c>
      <c r="AD250" s="175">
        <f>142463/31</f>
        <v>4595.5806451612907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6865.0472350231139</v>
      </c>
    </row>
    <row r="251" spans="3:39" x14ac:dyDescent="0.2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53">
        <f>108338/30</f>
        <v>3611.2666666666669</v>
      </c>
      <c r="K251" s="254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7063.7333333333336</v>
      </c>
      <c r="P251" s="174"/>
      <c r="Q251" s="174">
        <f>2127/30</f>
        <v>70.900000000000006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3638.3666666666668</v>
      </c>
      <c r="U251" s="175">
        <f>297202/30</f>
        <v>9906.7333333333336</v>
      </c>
      <c r="V251" s="175"/>
      <c r="W251" s="175">
        <f>336532/30</f>
        <v>11217.733333333334</v>
      </c>
      <c r="X251" s="175">
        <f>1764624/30</f>
        <v>58820.800000000003</v>
      </c>
      <c r="Y251" s="175">
        <f>1247820/30</f>
        <v>41594</v>
      </c>
      <c r="Z251" s="175">
        <f>195137/30</f>
        <v>6504.5666666666666</v>
      </c>
      <c r="AA251" s="175">
        <v>329.46666666666664</v>
      </c>
      <c r="AB251" s="175">
        <v>99.4</v>
      </c>
      <c r="AC251" s="175">
        <f>67477/30</f>
        <v>2249.2333333333331</v>
      </c>
      <c r="AD251" s="175">
        <f>153991/30</f>
        <v>5133.0333333333338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-2993.0924731182749</v>
      </c>
    </row>
    <row r="252" spans="3:39" x14ac:dyDescent="0.2">
      <c r="C252" s="184">
        <f t="shared" si="22"/>
        <v>2014.4166585000121</v>
      </c>
      <c r="D252" s="136">
        <v>41760</v>
      </c>
      <c r="E252" s="174">
        <f>43335/31</f>
        <v>1397.9032258064517</v>
      </c>
      <c r="F252" s="174">
        <f>12073/31</f>
        <v>389.45161290322579</v>
      </c>
      <c r="G252" s="174">
        <f>44466/31</f>
        <v>1434.3870967741937</v>
      </c>
      <c r="H252" s="174">
        <f>19050/31</f>
        <v>614.51612903225805</v>
      </c>
      <c r="I252" s="174">
        <f>3807/31</f>
        <v>122.80645161290323</v>
      </c>
      <c r="J252" s="253">
        <f>109035/31</f>
        <v>3517.2580645161293</v>
      </c>
      <c r="K252" s="254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67.193548387096769</v>
      </c>
      <c r="R252" s="174">
        <f>725/31</f>
        <v>23.387096774193548</v>
      </c>
      <c r="S252" s="175">
        <f>+(337789+43167)/31</f>
        <v>12288.903225806451</v>
      </c>
      <c r="T252" s="175">
        <f>154337/31</f>
        <v>4978.6129032258068</v>
      </c>
      <c r="U252" s="175">
        <f>300212/31</f>
        <v>9684.2580645161288</v>
      </c>
      <c r="V252" s="175"/>
      <c r="W252" s="175">
        <f>418425/31</f>
        <v>13497.58064516129</v>
      </c>
      <c r="X252" s="175">
        <f>1770179/31</f>
        <v>57102.548387096773</v>
      </c>
      <c r="Y252" s="175">
        <f>1162245/31</f>
        <v>37491.774193548386</v>
      </c>
      <c r="Z252" s="175">
        <f>181328/31</f>
        <v>5849.2903225806449</v>
      </c>
      <c r="AA252" s="175">
        <v>256.29032258064518</v>
      </c>
      <c r="AB252" s="175">
        <v>107.25806451612904</v>
      </c>
      <c r="AC252" s="175">
        <f>72581/31</f>
        <v>2341.3225806451615</v>
      </c>
      <c r="AD252" s="175">
        <f>163900/31</f>
        <v>5287.0967741935483</v>
      </c>
      <c r="AE252" s="175"/>
      <c r="AF252" s="175"/>
      <c r="AG252" s="175"/>
      <c r="AH252" s="175"/>
      <c r="AI252" s="148">
        <f t="shared" si="30"/>
        <v>173546.25806451609</v>
      </c>
      <c r="AJ252" s="138">
        <f>+AJ251</f>
        <v>172730.52328767124</v>
      </c>
      <c r="AK252" s="138">
        <f t="shared" si="28"/>
        <v>-4336.8752688172681</v>
      </c>
    </row>
    <row r="253" spans="3:39" x14ac:dyDescent="0.2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53">
        <v>3547</v>
      </c>
      <c r="K253" s="254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t="shared" ref="AI253:AI266" si="31">SUM(E253:AH253)</f>
        <v>168850</v>
      </c>
      <c r="AJ253" s="138">
        <f>+AJ252</f>
        <v>172730.52328767124</v>
      </c>
      <c r="AK253" s="138">
        <f t="shared" si="28"/>
        <v>-4696.2580645160924</v>
      </c>
    </row>
    <row r="254" spans="3:39" x14ac:dyDescent="0.2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720.45161290322585</v>
      </c>
      <c r="I254" s="174">
        <v>129.64516129032259</v>
      </c>
      <c r="J254" s="253">
        <v>3668.6129032258063</v>
      </c>
      <c r="K254" s="254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69.451612903225808</v>
      </c>
      <c r="R254" s="174">
        <v>22.322580645161292</v>
      </c>
      <c r="S254" s="175">
        <v>12034.58064516129</v>
      </c>
      <c r="T254" s="175">
        <v>4460.0967741935483</v>
      </c>
      <c r="U254" s="175">
        <v>8279.5161290322576</v>
      </c>
      <c r="V254" s="175"/>
      <c r="W254" s="175">
        <v>13959.032258064517</v>
      </c>
      <c r="X254" s="175">
        <v>59400.193548387098</v>
      </c>
      <c r="Y254" s="175">
        <v>34352.870967741932</v>
      </c>
      <c r="Z254" s="175">
        <v>8225.7419354838712</v>
      </c>
      <c r="AA254" s="175">
        <v>389.22580645161293</v>
      </c>
      <c r="AB254" s="175">
        <v>90.677419354838705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173862.77419354839</v>
      </c>
      <c r="AJ254" s="138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380.67741935483872</v>
      </c>
      <c r="G255" s="174">
        <v>1568.1290322580646</v>
      </c>
      <c r="H255" s="174">
        <v>685.0322580645161</v>
      </c>
      <c r="I255" s="174">
        <v>127.03225806451613</v>
      </c>
      <c r="J255" s="253">
        <v>3622.1612903225805</v>
      </c>
      <c r="K255" s="254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66.645161290322577</v>
      </c>
      <c r="R255" s="174">
        <v>21.774193548387096</v>
      </c>
      <c r="S255" s="175">
        <v>11472.870967741936</v>
      </c>
      <c r="T255" s="175">
        <v>4686.9354838709678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2214.0645161290322</v>
      </c>
      <c r="AD255" s="175">
        <v>6099.2258064516127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9" x14ac:dyDescent="0.2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53">
        <v>3566</v>
      </c>
      <c r="K256" s="254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6637.3870967741823</v>
      </c>
    </row>
    <row r="257" spans="3:37" x14ac:dyDescent="0.2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53">
        <v>3564</v>
      </c>
      <c r="K257" s="254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x14ac:dyDescent="0.2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684.83333333333337</v>
      </c>
      <c r="I258" s="174">
        <v>136.16666666666666</v>
      </c>
      <c r="J258" s="253">
        <v>3483.9666666666667</v>
      </c>
      <c r="K258" s="254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5451.7666666666664</v>
      </c>
      <c r="U258" s="175">
        <v>9420.4</v>
      </c>
      <c r="V258" s="175"/>
      <c r="W258" s="175">
        <v>10942.966666666667</v>
      </c>
      <c r="X258" s="175">
        <v>56420.033333333333</v>
      </c>
      <c r="Y258" s="175">
        <v>41538.199999999997</v>
      </c>
      <c r="Z258" s="175">
        <v>6628.0666666666666</v>
      </c>
      <c r="AA258" s="175">
        <v>381.6</v>
      </c>
      <c r="AB258" s="175">
        <v>39.266666666666666</v>
      </c>
      <c r="AC258" s="175">
        <v>1941.4</v>
      </c>
      <c r="AD258" s="175">
        <v>6399.9666666666662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369.54838709677421</v>
      </c>
      <c r="G259" s="177">
        <v>1558.6451612903227</v>
      </c>
      <c r="H259" s="177">
        <v>672.67741935483866</v>
      </c>
      <c r="I259" s="177">
        <v>142.96774193548387</v>
      </c>
      <c r="J259" s="261">
        <v>3553.4516129032259</v>
      </c>
      <c r="K259" s="262"/>
      <c r="L259" s="177">
        <v>192.48387096774192</v>
      </c>
      <c r="M259" s="177">
        <v>10229.516129032258</v>
      </c>
      <c r="N259" s="177"/>
      <c r="O259" s="177">
        <v>5328.3548387096771</v>
      </c>
      <c r="P259" s="177"/>
      <c r="Q259" s="177">
        <v>58.161290322580648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56201.677419354841</v>
      </c>
      <c r="Y259" s="178">
        <v>41640.709677419356</v>
      </c>
      <c r="Z259" s="178">
        <v>6473.7419354838712</v>
      </c>
      <c r="AA259" s="178">
        <v>327.87096774193549</v>
      </c>
      <c r="AB259" s="178">
        <v>103.87096774193549</v>
      </c>
      <c r="AC259" s="178">
        <v>1512.2903225806451</v>
      </c>
      <c r="AD259" s="178">
        <v>5657.5483870967746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x14ac:dyDescent="0.2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1485.9677419354839</v>
      </c>
      <c r="H260" s="179">
        <v>657.54838709677415</v>
      </c>
      <c r="I260" s="179">
        <v>167.87096774193549</v>
      </c>
      <c r="J260" s="259">
        <v>3458.1612903225805</v>
      </c>
      <c r="K260" s="260"/>
      <c r="L260" s="179">
        <v>192.93548387096774</v>
      </c>
      <c r="M260" s="179">
        <v>10268.774193548386</v>
      </c>
      <c r="N260" s="179"/>
      <c r="O260" s="179">
        <v>4834.4193548387093</v>
      </c>
      <c r="P260" s="179"/>
      <c r="Q260" s="179">
        <v>54.741935483870968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8408.5806451612898</v>
      </c>
      <c r="V260" s="180"/>
      <c r="W260" s="180">
        <v>11228.064516129032</v>
      </c>
      <c r="X260" s="180">
        <v>53014.612903225803</v>
      </c>
      <c r="Y260" s="180">
        <v>40950.483870967742</v>
      </c>
      <c r="Z260" s="180">
        <v>6223.9354838709678</v>
      </c>
      <c r="AA260" s="180">
        <v>278.29032258064518</v>
      </c>
      <c r="AB260" s="180">
        <v>61.903225806451616</v>
      </c>
      <c r="AC260" s="180">
        <v>1984.8709677419354</v>
      </c>
      <c r="AD260" s="180">
        <v>4522.0645161290322</v>
      </c>
      <c r="AE260" s="180">
        <v>683.38709677419354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x14ac:dyDescent="0.2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59">
        <v>3550.9285714285716</v>
      </c>
      <c r="K261" s="260"/>
      <c r="L261" s="179">
        <v>193.14285714285714</v>
      </c>
      <c r="M261" s="179">
        <v>10297.214285714286</v>
      </c>
      <c r="N261" s="179"/>
      <c r="O261" s="179">
        <v>4797.5357142857147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6282.3928571428569</v>
      </c>
      <c r="V261" s="180"/>
      <c r="W261" s="180">
        <v>8073.6428571428569</v>
      </c>
      <c r="X261" s="180">
        <v>55785.035714285717</v>
      </c>
      <c r="Y261" s="180">
        <v>39109</v>
      </c>
      <c r="Z261" s="180">
        <v>5564.4642857142853</v>
      </c>
      <c r="AA261" s="180">
        <v>318.25</v>
      </c>
      <c r="AB261" s="180">
        <v>62.642857142857146</v>
      </c>
      <c r="AC261" s="180">
        <v>1782.9642857142858</v>
      </c>
      <c r="AD261" s="180">
        <v>2910.2142857142858</v>
      </c>
      <c r="AE261" s="180">
        <v>2210.5357142857142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-6586.4412442395987</v>
      </c>
    </row>
    <row r="262" spans="3:37" x14ac:dyDescent="0.2">
      <c r="C262" s="184">
        <f t="shared" si="22"/>
        <v>2015.2499915000126</v>
      </c>
      <c r="D262" s="173">
        <v>42064</v>
      </c>
      <c r="E262" s="179">
        <v>1393.0322580645161</v>
      </c>
      <c r="F262" s="179">
        <v>356.87096774193549</v>
      </c>
      <c r="G262" s="179">
        <v>1333.3870967741937</v>
      </c>
      <c r="H262" s="179">
        <v>590.35483870967744</v>
      </c>
      <c r="I262" s="179">
        <v>173.03225806451613</v>
      </c>
      <c r="J262" s="259">
        <v>3401.6451612903224</v>
      </c>
      <c r="K262" s="260"/>
      <c r="L262" s="179">
        <v>190.16129032258064</v>
      </c>
      <c r="M262" s="179">
        <v>10335.838709677419</v>
      </c>
      <c r="N262" s="179"/>
      <c r="O262" s="179">
        <v>4209.6129032258068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8728.1612903225814</v>
      </c>
      <c r="V262" s="180"/>
      <c r="W262" s="180">
        <v>10221.709677419354</v>
      </c>
      <c r="X262" s="180">
        <v>55341.967741935485</v>
      </c>
      <c r="Y262" s="180">
        <v>35016.225806451614</v>
      </c>
      <c r="Z262" s="180">
        <v>5793.9677419354839</v>
      </c>
      <c r="AA262" s="180">
        <v>292.90322580645159</v>
      </c>
      <c r="AB262" s="180">
        <v>93.354838709677423</v>
      </c>
      <c r="AC262" s="180">
        <v>2016.8709677419354</v>
      </c>
      <c r="AD262" s="180">
        <v>757.64516129032256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991.06666666666672</v>
      </c>
      <c r="H263" s="179">
        <v>335.13333333333333</v>
      </c>
      <c r="I263" s="179">
        <v>167.53333333333333</v>
      </c>
      <c r="J263" s="259">
        <v>3415.6666666666665</v>
      </c>
      <c r="K263" s="260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3599.6333333333332</v>
      </c>
      <c r="U263" s="180">
        <v>8839</v>
      </c>
      <c r="V263" s="180"/>
      <c r="W263" s="180">
        <v>10141.700000000001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3216.7333333333331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x14ac:dyDescent="0.2">
      <c r="C264" s="184">
        <f t="shared" si="22"/>
        <v>2015.4166581000127</v>
      </c>
      <c r="D264" s="173">
        <v>42125</v>
      </c>
      <c r="E264" s="179">
        <v>1351.2258064516129</v>
      </c>
      <c r="F264" s="179">
        <v>380.64516129032256</v>
      </c>
      <c r="G264" s="179">
        <v>1346</v>
      </c>
      <c r="H264" s="179">
        <v>931.77419354838707</v>
      </c>
      <c r="I264" s="179">
        <v>195.19354838709677</v>
      </c>
      <c r="J264" s="259">
        <v>3440.9677419354839</v>
      </c>
      <c r="K264" s="260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57.322580645161288</v>
      </c>
      <c r="R264" s="179">
        <v>19.129032258064516</v>
      </c>
      <c r="S264" s="179">
        <v>10967.032258064517</v>
      </c>
      <c r="T264" s="179">
        <v>4112.4193548387093</v>
      </c>
      <c r="U264" s="179">
        <v>8068.9032258064517</v>
      </c>
      <c r="V264" s="179"/>
      <c r="W264" s="179">
        <v>10294.451612903225</v>
      </c>
      <c r="X264" s="179">
        <v>41456.354838709674</v>
      </c>
      <c r="Y264" s="179">
        <v>22482.903225806451</v>
      </c>
      <c r="Z264" s="179">
        <v>3724.6129032258063</v>
      </c>
      <c r="AA264" s="179">
        <v>317.64516129032256</v>
      </c>
      <c r="AB264" s="179">
        <v>68.322580645161295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x14ac:dyDescent="0.2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59">
        <v>3394.3</v>
      </c>
      <c r="K265" s="260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80.333333333333329</v>
      </c>
      <c r="R265" s="179">
        <v>19.733333333333334</v>
      </c>
      <c r="S265" s="179">
        <v>11380.266666666666</v>
      </c>
      <c r="T265" s="179">
        <v>0</v>
      </c>
      <c r="U265" s="179">
        <v>7988.0333333333338</v>
      </c>
      <c r="V265" s="179"/>
      <c r="W265" s="179">
        <v>9948</v>
      </c>
      <c r="X265" s="179">
        <v>52601.5</v>
      </c>
      <c r="Y265" s="179">
        <v>37407.633333333331</v>
      </c>
      <c r="Z265" s="179">
        <v>5834.0333333333338</v>
      </c>
      <c r="AA265" s="179">
        <v>185.73333333333332</v>
      </c>
      <c r="AB265" s="179">
        <v>53.966666666666669</v>
      </c>
      <c r="AC265" s="179">
        <v>1819.3666666666666</v>
      </c>
      <c r="AD265" s="179">
        <v>956.36666666666667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x14ac:dyDescent="0.2">
      <c r="C266" s="184">
        <f t="shared" si="22"/>
        <v>2015.5833247000128</v>
      </c>
      <c r="D266" s="173">
        <v>42186</v>
      </c>
      <c r="E266" s="179">
        <v>1415.7741935483871</v>
      </c>
      <c r="F266" s="179">
        <v>348.09677419354841</v>
      </c>
      <c r="G266" s="179">
        <v>1222.2903225806451</v>
      </c>
      <c r="H266" s="179">
        <v>628.0322580645161</v>
      </c>
      <c r="I266" s="179">
        <v>163.38709677419354</v>
      </c>
      <c r="J266" s="259">
        <v>3407.0645161290322</v>
      </c>
      <c r="K266" s="260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61.612903225806448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9421.9032258064508</v>
      </c>
      <c r="X266" s="179">
        <v>48275.258064516129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591.09677419354841</v>
      </c>
      <c r="AE266" s="179">
        <v>3797.0322580645161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x14ac:dyDescent="0.2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641.83870967741939</v>
      </c>
      <c r="I267" s="179">
        <v>152.12903225806451</v>
      </c>
      <c r="J267" s="259">
        <v>3457.1290322580599</v>
      </c>
      <c r="K267" s="260"/>
      <c r="L267" s="179">
        <v>271.67741935483872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58862.741935483871</v>
      </c>
      <c r="Y267" s="180">
        <v>9016.322580645161</v>
      </c>
      <c r="Z267" s="180">
        <v>2366.0322580645161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754.22580645161293</v>
      </c>
      <c r="AE267" s="179">
        <v>4006.0322580645161</v>
      </c>
      <c r="AF267" s="179"/>
      <c r="AG267" s="179"/>
      <c r="AH267" s="179"/>
      <c r="AI267" s="148">
        <f t="shared" ref="AI267:AI274" si="35">SUM(E267:AH267)</f>
        <v>134295.70967741936</v>
      </c>
      <c r="AJ267" s="138">
        <f>+AJ266</f>
        <v>149405</v>
      </c>
      <c r="AK267" s="138">
        <f t="shared" si="34"/>
        <v>-8218.8387096773949</v>
      </c>
    </row>
    <row r="268" spans="3:37" x14ac:dyDescent="0.2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630.73333333333335</v>
      </c>
      <c r="I268" s="179">
        <v>156.80000000000001</v>
      </c>
      <c r="J268" s="259">
        <v>3365.7666666666701</v>
      </c>
      <c r="K268" s="260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17.100000000000001</v>
      </c>
      <c r="S268" s="179">
        <f>9492.36666666667+1300.23333333333</f>
        <v>10792.6</v>
      </c>
      <c r="T268" s="179">
        <v>7276.4333333333334</v>
      </c>
      <c r="U268" s="179">
        <v>5481.9</v>
      </c>
      <c r="V268" s="179"/>
      <c r="W268" s="179">
        <v>4441.5333333333338</v>
      </c>
      <c r="X268" s="180">
        <v>53443.333333333336</v>
      </c>
      <c r="Y268" s="180">
        <v>21087.933333333334</v>
      </c>
      <c r="Z268" s="180">
        <v>2572.8000000000002</v>
      </c>
      <c r="AA268" s="179">
        <v>365.03333333333336</v>
      </c>
      <c r="AB268" s="179">
        <v>124.93333333333334</v>
      </c>
      <c r="AC268" s="179">
        <v>1973.6</v>
      </c>
      <c r="AD268" s="179">
        <v>1077.9000000000001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806.72365591398557</v>
      </c>
    </row>
    <row r="269" spans="3:37" x14ac:dyDescent="0.2">
      <c r="C269" s="184">
        <f t="shared" si="22"/>
        <v>2015.8333246000129</v>
      </c>
      <c r="D269" s="173">
        <v>42278</v>
      </c>
      <c r="E269" s="179">
        <v>1323.2903225806451</v>
      </c>
      <c r="F269" s="179">
        <v>360.09677419354841</v>
      </c>
      <c r="G269" s="179">
        <v>1172.258064516129</v>
      </c>
      <c r="H269" s="179">
        <v>637.12903225806451</v>
      </c>
      <c r="I269" s="179">
        <v>151.2258064516129</v>
      </c>
      <c r="J269" s="259">
        <v>3472.9677419354839</v>
      </c>
      <c r="K269" s="260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66.645161290322577</v>
      </c>
      <c r="R269" s="179">
        <v>19.774193548387096</v>
      </c>
      <c r="S269" s="179">
        <v>10558.2580645161</v>
      </c>
      <c r="T269" s="179">
        <v>2574.9677419354839</v>
      </c>
      <c r="U269" s="179">
        <v>6749.2258064516127</v>
      </c>
      <c r="V269" s="179">
        <v>9436.2258064516136</v>
      </c>
      <c r="W269" s="179">
        <v>678</v>
      </c>
      <c r="X269" s="180">
        <v>51913.032258064515</v>
      </c>
      <c r="Y269" s="180">
        <v>36384.06451612903</v>
      </c>
      <c r="Z269" s="180">
        <v>5325.1290322580644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x14ac:dyDescent="0.2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59">
        <v>3349.4</v>
      </c>
      <c r="K270" s="260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8197.9333333333325</v>
      </c>
      <c r="V270" s="179">
        <v>8981.6333333333332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306.63333333333333</v>
      </c>
      <c r="AB270" s="179">
        <v>123.06666666666666</v>
      </c>
      <c r="AC270" s="179">
        <v>1756.0333333333299</v>
      </c>
      <c r="AD270" s="180">
        <v>1779.8333333333333</v>
      </c>
      <c r="AE270" s="180">
        <v>3929.1333333333332</v>
      </c>
      <c r="AF270" s="179"/>
      <c r="AG270" s="179"/>
      <c r="AH270" s="179"/>
      <c r="AI270" s="148">
        <f t="shared" si="35"/>
        <v>154074.76666666669</v>
      </c>
      <c r="AJ270" s="138">
        <f t="shared" si="33"/>
        <v>149405</v>
      </c>
      <c r="AK270" s="138">
        <f>+AI270-AI269</f>
        <v>747.31505376353743</v>
      </c>
    </row>
    <row r="271" spans="3:37" x14ac:dyDescent="0.2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648.51612903225805</v>
      </c>
      <c r="I271" s="179">
        <v>133.74193548387098</v>
      </c>
      <c r="J271" s="259">
        <v>3288.8709677419356</v>
      </c>
      <c r="K271" s="260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58.387096774193552</v>
      </c>
      <c r="R271" s="179">
        <v>18.258064516129032</v>
      </c>
      <c r="S271" s="179">
        <f>8918.58064516129 + 1190.677419</f>
        <v>10109.258064161289</v>
      </c>
      <c r="T271" s="179">
        <v>4617.1935483870966</v>
      </c>
      <c r="U271" s="179">
        <v>7547.3870967741932</v>
      </c>
      <c r="V271" s="179">
        <v>10184.41935483871</v>
      </c>
      <c r="W271" s="191" t="s">
        <v>37</v>
      </c>
      <c r="X271" s="179">
        <v>54585.129032258068</v>
      </c>
      <c r="Y271" s="179">
        <v>39603.032258064515</v>
      </c>
      <c r="Z271" s="179">
        <v>4693.1290322580644</v>
      </c>
      <c r="AA271" s="179">
        <v>136.19354838709677</v>
      </c>
      <c r="AB271" s="179">
        <v>33.12903225806452</v>
      </c>
      <c r="AC271" s="179">
        <v>1890.7741935483871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7006.7494620107464</v>
      </c>
    </row>
    <row r="272" spans="3:37" s="218" customFormat="1" x14ac:dyDescent="0.2">
      <c r="C272" s="212">
        <f t="shared" ref="C272:C289" si="36">+C271+0.0833333</f>
        <v>2016.0833245000131</v>
      </c>
      <c r="D272" s="213">
        <v>42370</v>
      </c>
      <c r="E272" s="214">
        <v>1119.2258064516129</v>
      </c>
      <c r="F272" s="214">
        <v>353.29032258064518</v>
      </c>
      <c r="G272" s="214">
        <v>1007.7741935483871</v>
      </c>
      <c r="H272" s="214">
        <v>663.64516129032256</v>
      </c>
      <c r="I272" s="214">
        <v>127.87096774193549</v>
      </c>
      <c r="J272" s="263">
        <v>3243.3225806451601</v>
      </c>
      <c r="K272" s="264"/>
      <c r="L272" s="214">
        <v>164.35483870967741</v>
      </c>
      <c r="M272" s="214">
        <v>11046.41935483871</v>
      </c>
      <c r="N272" s="214"/>
      <c r="O272" s="214">
        <v>4035.4193548387098</v>
      </c>
      <c r="P272" s="214"/>
      <c r="Q272" s="214">
        <v>53.903225806451616</v>
      </c>
      <c r="R272" s="214">
        <v>17.64516129032258</v>
      </c>
      <c r="S272" s="214">
        <v>9665</v>
      </c>
      <c r="T272" s="214">
        <v>2502</v>
      </c>
      <c r="U272" s="214">
        <v>6800</v>
      </c>
      <c r="V272" s="214">
        <v>9431.677419354839</v>
      </c>
      <c r="W272" s="215" t="s">
        <v>37</v>
      </c>
      <c r="X272" s="214">
        <v>30728.935483870966</v>
      </c>
      <c r="Y272" s="214">
        <v>21960.903225806451</v>
      </c>
      <c r="Z272" s="214">
        <v>3946.2903225806454</v>
      </c>
      <c r="AA272" s="214">
        <v>356.83870967741933</v>
      </c>
      <c r="AB272" s="214">
        <v>74.483870967741936</v>
      </c>
      <c r="AC272" s="214">
        <v>1865.9677419354839</v>
      </c>
      <c r="AD272" s="214">
        <v>337.96774193548384</v>
      </c>
      <c r="AE272" s="214">
        <v>1483.4516129032259</v>
      </c>
      <c r="AF272" s="214"/>
      <c r="AG272" s="214"/>
      <c r="AH272" s="214"/>
      <c r="AI272" s="216">
        <f>SUM(E272:AH272)</f>
        <v>110986.38709677421</v>
      </c>
      <c r="AJ272" s="217">
        <v>135096</v>
      </c>
      <c r="AK272" s="217">
        <f>+AI272-AI271</f>
        <v>-50095.129031903227</v>
      </c>
    </row>
    <row r="273" spans="3:39" s="218" customFormat="1" x14ac:dyDescent="0.2">
      <c r="C273" s="212">
        <f t="shared" si="36"/>
        <v>2016.1666578000131</v>
      </c>
      <c r="D273" s="213">
        <v>42401</v>
      </c>
      <c r="E273" s="214">
        <v>1102.9310344827586</v>
      </c>
      <c r="F273" s="214">
        <v>322.79310344827587</v>
      </c>
      <c r="G273" s="214">
        <v>1008.9310344827586</v>
      </c>
      <c r="H273" s="214">
        <v>620.20689655172418</v>
      </c>
      <c r="I273" s="214">
        <v>133.34482758620689</v>
      </c>
      <c r="J273" s="263">
        <v>3242.8965517241381</v>
      </c>
      <c r="K273" s="264">
        <v>0</v>
      </c>
      <c r="L273" s="214">
        <v>183.44827586206895</v>
      </c>
      <c r="M273" s="214">
        <v>10945.931034482759</v>
      </c>
      <c r="N273" s="214"/>
      <c r="O273" s="214">
        <v>3794.7931034482758</v>
      </c>
      <c r="P273" s="214"/>
      <c r="Q273" s="214">
        <v>51.206896551724135</v>
      </c>
      <c r="R273" s="214">
        <v>16.137931034482758</v>
      </c>
      <c r="S273" s="214">
        <v>9842.9310344827591</v>
      </c>
      <c r="T273" s="214">
        <v>3873.8965517241381</v>
      </c>
      <c r="U273" s="214">
        <v>7572.8965517241377</v>
      </c>
      <c r="V273" s="214">
        <v>4223.8965517241377</v>
      </c>
      <c r="W273" s="215"/>
      <c r="X273" s="214">
        <v>55195.965517241377</v>
      </c>
      <c r="Y273" s="214">
        <v>24998.137931034482</v>
      </c>
      <c r="Z273" s="214">
        <v>2003.7586206896551</v>
      </c>
      <c r="AA273" s="214">
        <v>194</v>
      </c>
      <c r="AB273" s="214">
        <v>72.482758620689651</v>
      </c>
      <c r="AC273" s="214">
        <v>1502</v>
      </c>
      <c r="AD273" s="214">
        <v>565.41379310344826</v>
      </c>
      <c r="AE273" s="214">
        <v>66.58620689655173</v>
      </c>
      <c r="AF273" s="219"/>
      <c r="AG273" s="219"/>
      <c r="AH273" s="219"/>
      <c r="AI273" s="216">
        <f t="shared" si="35"/>
        <v>131534.58620689652</v>
      </c>
      <c r="AJ273" s="220">
        <f>+AJ272</f>
        <v>135096</v>
      </c>
      <c r="AK273" s="217">
        <f t="shared" ref="AK273:AK287" si="37">+AI273-AI272</f>
        <v>20548.19911012231</v>
      </c>
    </row>
    <row r="274" spans="3:39" s="222" customFormat="1" x14ac:dyDescent="0.2">
      <c r="C274" s="212">
        <f t="shared" si="36"/>
        <v>2016.2499911000132</v>
      </c>
      <c r="D274" s="213">
        <v>42430</v>
      </c>
      <c r="E274" s="214">
        <v>1056.3225806451612</v>
      </c>
      <c r="F274" s="214">
        <v>295.93548387096774</v>
      </c>
      <c r="G274" s="214">
        <v>768.25806451612902</v>
      </c>
      <c r="H274" s="214">
        <v>598.32258064516134</v>
      </c>
      <c r="I274" s="214">
        <v>118.51612903225806</v>
      </c>
      <c r="J274" s="263">
        <v>2940.9032258064499</v>
      </c>
      <c r="K274" s="264"/>
      <c r="L274" s="214">
        <v>213.09677419354838</v>
      </c>
      <c r="M274" s="214">
        <v>10465.741935483871</v>
      </c>
      <c r="N274" s="214"/>
      <c r="O274" s="214">
        <v>4093.0322580645161</v>
      </c>
      <c r="P274" s="214"/>
      <c r="Q274" s="214">
        <v>52.967741935483872</v>
      </c>
      <c r="R274" s="214">
        <v>14.064516129032258</v>
      </c>
      <c r="S274" s="214">
        <v>9719.5806451612898</v>
      </c>
      <c r="T274" s="214">
        <v>2992.3870967741937</v>
      </c>
      <c r="U274" s="214">
        <v>6006.6129032258068</v>
      </c>
      <c r="V274" s="214">
        <v>0</v>
      </c>
      <c r="W274" s="215"/>
      <c r="X274" s="214">
        <v>48012.129032258068</v>
      </c>
      <c r="Y274" s="214">
        <v>39933</v>
      </c>
      <c r="Z274" s="214">
        <v>6135.677419354839</v>
      </c>
      <c r="AA274" s="214">
        <v>182.25806451612902</v>
      </c>
      <c r="AB274" s="214">
        <v>56.677419354838712</v>
      </c>
      <c r="AC274" s="214">
        <v>1820.6774193548388</v>
      </c>
      <c r="AD274" s="214">
        <v>963.70967741935488</v>
      </c>
      <c r="AE274" s="214">
        <v>0</v>
      </c>
      <c r="AF274" s="221"/>
      <c r="AG274" s="221"/>
      <c r="AH274" s="221"/>
      <c r="AI274" s="216">
        <f t="shared" si="35"/>
        <v>136439.87096774197</v>
      </c>
      <c r="AJ274" s="220">
        <f>+AJ273</f>
        <v>135096</v>
      </c>
      <c r="AK274" s="217">
        <f t="shared" si="37"/>
        <v>4905.2847608454467</v>
      </c>
    </row>
    <row r="275" spans="3:39" s="222" customFormat="1" x14ac:dyDescent="0.2">
      <c r="C275" s="212">
        <f t="shared" si="36"/>
        <v>2016.3333244000132</v>
      </c>
      <c r="D275" s="213">
        <v>42461</v>
      </c>
      <c r="E275" s="214">
        <v>1028.7</v>
      </c>
      <c r="F275" s="214">
        <v>314.56666666666666</v>
      </c>
      <c r="G275" s="214">
        <v>1008.3666666666667</v>
      </c>
      <c r="H275" s="214">
        <v>596.29999999999995</v>
      </c>
      <c r="I275" s="214">
        <v>123.7</v>
      </c>
      <c r="J275" s="263">
        <v>3179.3333333333298</v>
      </c>
      <c r="K275" s="264"/>
      <c r="L275" s="214">
        <v>220.76666666666668</v>
      </c>
      <c r="M275" s="214">
        <v>10810.3</v>
      </c>
      <c r="N275" s="214"/>
      <c r="O275" s="214">
        <v>3951.9666666666667</v>
      </c>
      <c r="P275" s="214"/>
      <c r="Q275" s="214">
        <v>50.4</v>
      </c>
      <c r="R275" s="214">
        <v>13.6</v>
      </c>
      <c r="S275" s="214">
        <v>9401.1666666666661</v>
      </c>
      <c r="T275" s="214">
        <v>3353.4</v>
      </c>
      <c r="U275" s="214">
        <v>5271.2</v>
      </c>
      <c r="V275" s="214">
        <v>0</v>
      </c>
      <c r="W275" s="215"/>
      <c r="X275" s="214">
        <v>54283.033333333333</v>
      </c>
      <c r="Y275" s="214">
        <v>36841.23333333333</v>
      </c>
      <c r="Z275" s="214">
        <v>7608.3</v>
      </c>
      <c r="AA275" s="214">
        <v>113.13333333333334</v>
      </c>
      <c r="AB275" s="214">
        <v>0</v>
      </c>
      <c r="AC275" s="214">
        <v>1819.3</v>
      </c>
      <c r="AD275" s="214">
        <v>491.8</v>
      </c>
      <c r="AE275" s="214">
        <v>1705.2666666666667</v>
      </c>
      <c r="AF275" s="221"/>
      <c r="AG275" s="221"/>
      <c r="AH275" s="221"/>
      <c r="AI275" s="216">
        <f>SUM(E275:AH275)</f>
        <v>142185.83333333328</v>
      </c>
      <c r="AJ275" s="220">
        <f t="shared" ref="AJ275:AJ283" si="38">+AJ274</f>
        <v>135096</v>
      </c>
      <c r="AK275" s="217">
        <f t="shared" si="37"/>
        <v>5745.9623655913165</v>
      </c>
      <c r="AM275" s="223"/>
    </row>
    <row r="276" spans="3:39" s="222" customFormat="1" x14ac:dyDescent="0.2">
      <c r="C276" s="212">
        <f t="shared" si="36"/>
        <v>2016.4166577000133</v>
      </c>
      <c r="D276" s="213">
        <v>42491</v>
      </c>
      <c r="E276" s="214">
        <v>1043.8387096774193</v>
      </c>
      <c r="F276" s="214">
        <v>339.77419354838707</v>
      </c>
      <c r="G276" s="214">
        <v>975.25806451612902</v>
      </c>
      <c r="H276" s="214">
        <v>601.0322580645161</v>
      </c>
      <c r="I276" s="214">
        <v>128.74193548387098</v>
      </c>
      <c r="J276" s="263">
        <v>3165.16129032258</v>
      </c>
      <c r="K276" s="264"/>
      <c r="L276" s="214">
        <v>184.90322580645162</v>
      </c>
      <c r="M276" s="214">
        <v>10743.064516129032</v>
      </c>
      <c r="N276" s="214"/>
      <c r="O276" s="214">
        <v>3888.9032258064517</v>
      </c>
      <c r="P276" s="214"/>
      <c r="Q276" s="214">
        <v>50.70967741935484</v>
      </c>
      <c r="R276" s="214">
        <v>15.741935483870968</v>
      </c>
      <c r="S276" s="214">
        <v>9326.9354838709678</v>
      </c>
      <c r="T276" s="214">
        <v>2876.516129032258</v>
      </c>
      <c r="U276" s="214">
        <v>6048.7741935483873</v>
      </c>
      <c r="V276" s="214">
        <v>0</v>
      </c>
      <c r="W276" s="215"/>
      <c r="X276" s="214">
        <v>55623.258064516129</v>
      </c>
      <c r="Y276" s="214">
        <v>33996.483870967742</v>
      </c>
      <c r="Z276" s="214">
        <v>11789.129032258064</v>
      </c>
      <c r="AA276" s="214">
        <v>13.548387096774194</v>
      </c>
      <c r="AB276" s="214">
        <v>41.70967741935484</v>
      </c>
      <c r="AC276" s="214">
        <v>1061</v>
      </c>
      <c r="AD276" s="214">
        <v>1937.9354838709678</v>
      </c>
      <c r="AE276" s="214">
        <v>2608.9032258064517</v>
      </c>
      <c r="AF276" s="221"/>
      <c r="AG276" s="221"/>
      <c r="AH276" s="221"/>
      <c r="AI276" s="216">
        <f>SUM(E276:AH276)</f>
        <v>146461.32258064518</v>
      </c>
      <c r="AJ276" s="220">
        <f t="shared" si="38"/>
        <v>135096</v>
      </c>
      <c r="AK276" s="217">
        <f t="shared" si="37"/>
        <v>4275.4892473118962</v>
      </c>
    </row>
    <row r="277" spans="3:39" s="228" customFormat="1" x14ac:dyDescent="0.2">
      <c r="C277" s="212">
        <f t="shared" si="36"/>
        <v>2016.4999910000133</v>
      </c>
      <c r="D277" s="224">
        <v>42522</v>
      </c>
      <c r="E277" s="225">
        <v>1008.8333333333334</v>
      </c>
      <c r="F277" s="225">
        <v>328.9</v>
      </c>
      <c r="G277" s="225">
        <v>1006.2333333333333</v>
      </c>
      <c r="H277" s="225">
        <v>607.29999999999995</v>
      </c>
      <c r="I277" s="225">
        <v>128.36666666666667</v>
      </c>
      <c r="J277" s="263">
        <v>3254.8666666666668</v>
      </c>
      <c r="K277" s="264"/>
      <c r="L277" s="225">
        <v>192.66666666666666</v>
      </c>
      <c r="M277" s="225">
        <v>10732.333333333334</v>
      </c>
      <c r="N277" s="225"/>
      <c r="O277" s="225">
        <v>3616.4</v>
      </c>
      <c r="P277" s="225"/>
      <c r="Q277" s="225">
        <v>48.266666666666666</v>
      </c>
      <c r="R277" s="225">
        <v>17.433333333333334</v>
      </c>
      <c r="S277" s="225">
        <v>9383.5666666666675</v>
      </c>
      <c r="T277" s="225">
        <v>0</v>
      </c>
      <c r="U277" s="225">
        <v>4673.333333333333</v>
      </c>
      <c r="V277" s="225">
        <v>0</v>
      </c>
      <c r="W277" s="225"/>
      <c r="X277" s="225">
        <v>52875.166666666664</v>
      </c>
      <c r="Y277" s="225">
        <v>30062.7</v>
      </c>
      <c r="Z277" s="225">
        <v>9357.3333333333339</v>
      </c>
      <c r="AA277" s="225">
        <v>59.3</v>
      </c>
      <c r="AB277" s="225">
        <v>0</v>
      </c>
      <c r="AC277" s="225">
        <v>1055.5666666666666</v>
      </c>
      <c r="AD277" s="225">
        <v>0</v>
      </c>
      <c r="AE277" s="225">
        <v>2864.3333333333335</v>
      </c>
      <c r="AF277" s="226"/>
      <c r="AG277" s="226"/>
      <c r="AH277" s="226"/>
      <c r="AI277" s="227">
        <f>SUM(E277:AH277)</f>
        <v>131272.9</v>
      </c>
      <c r="AJ277" s="220">
        <f t="shared" si="38"/>
        <v>135096</v>
      </c>
      <c r="AK277" s="220">
        <f>+AI277-AI276</f>
        <v>-15188.422580645187</v>
      </c>
    </row>
    <row r="278" spans="3:39" s="228" customFormat="1" x14ac:dyDescent="0.2">
      <c r="C278" s="212">
        <f t="shared" si="36"/>
        <v>2016.5833243000134</v>
      </c>
      <c r="D278" s="224">
        <v>42552</v>
      </c>
      <c r="E278" s="225">
        <v>1008.1935483870968</v>
      </c>
      <c r="F278" s="225">
        <v>308.35483870967744</v>
      </c>
      <c r="G278" s="225">
        <v>967.77419354838707</v>
      </c>
      <c r="H278" s="225">
        <v>637.64516129032256</v>
      </c>
      <c r="I278" s="225">
        <v>134.16129032258064</v>
      </c>
      <c r="J278" s="263">
        <v>3235.8387096774195</v>
      </c>
      <c r="K278" s="264"/>
      <c r="L278" s="225">
        <v>179.93548387096774</v>
      </c>
      <c r="M278" s="225">
        <v>10581.193548387097</v>
      </c>
      <c r="N278" s="225"/>
      <c r="O278" s="225">
        <v>3546.5483870967741</v>
      </c>
      <c r="P278" s="225"/>
      <c r="Q278" s="225">
        <v>46.032258064516128</v>
      </c>
      <c r="R278" s="225">
        <v>15.870967741935484</v>
      </c>
      <c r="S278" s="225">
        <v>9072.2903225806458</v>
      </c>
      <c r="T278" s="225">
        <v>4514.8387096774195</v>
      </c>
      <c r="U278" s="225">
        <v>6118.7096774193551</v>
      </c>
      <c r="V278" s="225">
        <v>0</v>
      </c>
      <c r="W278" s="225"/>
      <c r="X278" s="225">
        <v>53051.451612903227</v>
      </c>
      <c r="Y278" s="225">
        <v>34124.354838709674</v>
      </c>
      <c r="Z278" s="225">
        <v>11687.709677419354</v>
      </c>
      <c r="AA278" s="225">
        <v>62.41935483870968</v>
      </c>
      <c r="AB278" s="225">
        <v>50.451612903225808</v>
      </c>
      <c r="AC278" s="225">
        <v>729.06451612903231</v>
      </c>
      <c r="AD278" s="225">
        <v>0</v>
      </c>
      <c r="AE278" s="225">
        <v>2983.2903225806454</v>
      </c>
      <c r="AF278" s="226"/>
      <c r="AG278" s="226"/>
      <c r="AH278" s="226"/>
      <c r="AI278" s="227">
        <f>SUM(E278:AH278)</f>
        <v>143056.12903225803</v>
      </c>
      <c r="AJ278" s="220">
        <f t="shared" si="38"/>
        <v>135096</v>
      </c>
      <c r="AK278" s="220">
        <f>+AI278-AI277</f>
        <v>11783.229032258037</v>
      </c>
    </row>
    <row r="279" spans="3:39" s="228" customFormat="1" x14ac:dyDescent="0.2">
      <c r="C279" s="212">
        <f t="shared" si="36"/>
        <v>2016.6666576000134</v>
      </c>
      <c r="D279" s="224">
        <v>42583</v>
      </c>
      <c r="E279" s="225">
        <v>1096.1935483870968</v>
      </c>
      <c r="F279" s="225">
        <v>303.38709677419354</v>
      </c>
      <c r="G279" s="225">
        <v>935.74193548387098</v>
      </c>
      <c r="H279" s="225">
        <v>615.83870967741939</v>
      </c>
      <c r="I279" s="225">
        <v>126.19354838709677</v>
      </c>
      <c r="J279" s="229">
        <v>3181.3225806451615</v>
      </c>
      <c r="K279" s="230"/>
      <c r="L279" s="225">
        <v>183.41935483870967</v>
      </c>
      <c r="M279" s="225">
        <v>10651.322580645161</v>
      </c>
      <c r="N279" s="225"/>
      <c r="O279" s="225">
        <v>3682.5806451612902</v>
      </c>
      <c r="P279" s="225"/>
      <c r="Q279" s="225">
        <v>47.193548387096776</v>
      </c>
      <c r="R279" s="225">
        <v>14.451612903225806</v>
      </c>
      <c r="S279" s="225">
        <v>9502.2258064516136</v>
      </c>
      <c r="T279" s="225">
        <v>2827.5483870967741</v>
      </c>
      <c r="U279" s="225">
        <v>6092.4838709677415</v>
      </c>
      <c r="V279" s="225">
        <v>0</v>
      </c>
      <c r="W279" s="231"/>
      <c r="X279" s="225">
        <v>53724.774193548386</v>
      </c>
      <c r="Y279" s="225">
        <v>34606.032258064515</v>
      </c>
      <c r="Z279" s="225">
        <v>11677.032258064517</v>
      </c>
      <c r="AA279" s="225">
        <v>52.967741935483872</v>
      </c>
      <c r="AB279" s="225">
        <v>51.58064516129032</v>
      </c>
      <c r="AC279" s="225">
        <v>1006.258064516129</v>
      </c>
      <c r="AD279" s="225">
        <v>0</v>
      </c>
      <c r="AE279" s="225">
        <v>3087.6129032258063</v>
      </c>
      <c r="AF279" s="226"/>
      <c r="AG279" s="226"/>
      <c r="AH279" s="226"/>
      <c r="AI279" s="227">
        <f>SUM(E279:AH279)</f>
        <v>143466.16129032261</v>
      </c>
      <c r="AJ279" s="220">
        <f t="shared" si="38"/>
        <v>135096</v>
      </c>
      <c r="AK279" s="220">
        <f t="shared" si="37"/>
        <v>410.0322580645734</v>
      </c>
    </row>
    <row r="280" spans="3:39" s="228" customFormat="1" x14ac:dyDescent="0.2">
      <c r="C280" s="212">
        <f t="shared" si="36"/>
        <v>2016.7499909000135</v>
      </c>
      <c r="D280" s="224">
        <v>42614</v>
      </c>
      <c r="E280" s="225">
        <v>1072.4000000000001</v>
      </c>
      <c r="F280" s="225">
        <v>273.7</v>
      </c>
      <c r="G280" s="225">
        <v>943.36666666666667</v>
      </c>
      <c r="H280" s="225">
        <v>601.63333333333333</v>
      </c>
      <c r="I280" s="225">
        <v>124.46666666666667</v>
      </c>
      <c r="J280" s="238">
        <v>3168.6</v>
      </c>
      <c r="K280" s="239"/>
      <c r="L280" s="225">
        <v>185</v>
      </c>
      <c r="M280" s="225">
        <v>10746.466666666667</v>
      </c>
      <c r="N280" s="225"/>
      <c r="O280" s="225">
        <v>3482.3</v>
      </c>
      <c r="P280" s="225"/>
      <c r="Q280" s="225">
        <v>45.366666666666667</v>
      </c>
      <c r="R280" s="225">
        <v>14.033333333333333</v>
      </c>
      <c r="S280" s="225">
        <v>9208.4666666666672</v>
      </c>
      <c r="T280" s="225">
        <v>2902.3333333333335</v>
      </c>
      <c r="U280" s="225">
        <v>0</v>
      </c>
      <c r="V280" s="225">
        <v>0</v>
      </c>
      <c r="W280" s="231"/>
      <c r="X280" s="225">
        <v>45180.133333333331</v>
      </c>
      <c r="Y280" s="225">
        <v>36006.26666666667</v>
      </c>
      <c r="Z280" s="225">
        <v>10151.233333333334</v>
      </c>
      <c r="AA280" s="225">
        <v>52.666666666666664</v>
      </c>
      <c r="AB280" s="225">
        <v>47.766666666666666</v>
      </c>
      <c r="AC280" s="225">
        <v>1307.2</v>
      </c>
      <c r="AD280" s="225">
        <v>0</v>
      </c>
      <c r="AE280" s="225">
        <v>2983.8666666666668</v>
      </c>
      <c r="AF280" s="226"/>
      <c r="AG280" s="226"/>
      <c r="AH280" s="226"/>
      <c r="AI280" s="227">
        <f t="shared" ref="AI280:AI283" si="39">SUM(E280:AH280)</f>
        <v>128497.26666666666</v>
      </c>
      <c r="AJ280" s="220">
        <f t="shared" si="38"/>
        <v>135096</v>
      </c>
      <c r="AK280" s="220">
        <f t="shared" si="37"/>
        <v>-14968.894623655942</v>
      </c>
    </row>
    <row r="281" spans="3:39" s="222" customFormat="1" x14ac:dyDescent="0.2">
      <c r="C281" s="212">
        <f t="shared" si="36"/>
        <v>2016.8333242000135</v>
      </c>
      <c r="D281" s="213">
        <v>42644</v>
      </c>
      <c r="E281" s="214">
        <v>1023.0967741935484</v>
      </c>
      <c r="F281" s="214">
        <v>318.32258064516128</v>
      </c>
      <c r="G281" s="214">
        <v>936.80645161290317</v>
      </c>
      <c r="H281" s="214">
        <v>609.48387096774195</v>
      </c>
      <c r="I281" s="214">
        <v>135</v>
      </c>
      <c r="J281" s="232">
        <v>3232.1290322580644</v>
      </c>
      <c r="K281" s="233"/>
      <c r="L281" s="214">
        <v>193.45161290322579</v>
      </c>
      <c r="M281" s="214">
        <v>10927.838709677419</v>
      </c>
      <c r="N281" s="214"/>
      <c r="O281" s="214">
        <v>3186.8064516129034</v>
      </c>
      <c r="P281" s="214"/>
      <c r="Q281" s="214">
        <v>43.935483870967744</v>
      </c>
      <c r="R281" s="214">
        <v>13.419354838709678</v>
      </c>
      <c r="S281" s="214">
        <v>9853.354838709678</v>
      </c>
      <c r="T281" s="214">
        <v>2743.7419354838707</v>
      </c>
      <c r="U281" s="214">
        <v>0</v>
      </c>
      <c r="V281" s="214">
        <v>0</v>
      </c>
      <c r="W281" s="215"/>
      <c r="X281" s="214">
        <v>49353.129032258068</v>
      </c>
      <c r="Y281" s="214">
        <v>34508.032258064515</v>
      </c>
      <c r="Z281" s="214">
        <v>10156.774193548386</v>
      </c>
      <c r="AA281" s="214">
        <v>79.096774193548384</v>
      </c>
      <c r="AB281" s="214">
        <v>40.58064516129032</v>
      </c>
      <c r="AC281" s="214">
        <v>1498.7741935483871</v>
      </c>
      <c r="AD281" s="214">
        <v>0</v>
      </c>
      <c r="AE281" s="214">
        <v>3024.8387096774195</v>
      </c>
      <c r="AF281" s="221"/>
      <c r="AG281" s="221"/>
      <c r="AH281" s="221"/>
      <c r="AI281" s="227">
        <f t="shared" si="39"/>
        <v>131878.61290322579</v>
      </c>
      <c r="AJ281" s="220">
        <f t="shared" si="38"/>
        <v>135096</v>
      </c>
      <c r="AK281" s="220">
        <f t="shared" ref="AK281" si="40">+AI281-AI280</f>
        <v>3381.3462365591258</v>
      </c>
    </row>
    <row r="282" spans="3:39" s="222" customFormat="1" x14ac:dyDescent="0.2">
      <c r="C282" s="212">
        <f t="shared" si="36"/>
        <v>2016.9166575000136</v>
      </c>
      <c r="D282" s="213">
        <v>42675</v>
      </c>
      <c r="E282" s="214">
        <v>988.9</v>
      </c>
      <c r="F282" s="214">
        <v>326.03333333333336</v>
      </c>
      <c r="G282" s="214">
        <v>937.8</v>
      </c>
      <c r="H282" s="214">
        <v>627.79999999999995</v>
      </c>
      <c r="I282" s="214">
        <v>133.96666666666667</v>
      </c>
      <c r="J282" s="232">
        <v>3265.8</v>
      </c>
      <c r="K282" s="233"/>
      <c r="L282" s="214">
        <v>187.06666666666666</v>
      </c>
      <c r="M282" s="214">
        <v>11001.1</v>
      </c>
      <c r="N282" s="214"/>
      <c r="O282" s="214">
        <v>3104.2666666666669</v>
      </c>
      <c r="P282" s="214"/>
      <c r="Q282" s="214">
        <v>45.666666666666664</v>
      </c>
      <c r="R282" s="214">
        <v>12.166666666666666</v>
      </c>
      <c r="S282" s="214">
        <v>9940.9333333333325</v>
      </c>
      <c r="T282" s="214">
        <v>2642.8666666666668</v>
      </c>
      <c r="U282" s="214">
        <v>0</v>
      </c>
      <c r="V282" s="214">
        <v>0</v>
      </c>
      <c r="W282" s="215"/>
      <c r="X282" s="214">
        <v>52816.866666666669</v>
      </c>
      <c r="Y282" s="214">
        <v>36082.866666666669</v>
      </c>
      <c r="Z282" s="214">
        <v>10601.8</v>
      </c>
      <c r="AA282" s="214">
        <v>63.966666666666669</v>
      </c>
      <c r="AB282" s="214">
        <v>43.133333333333333</v>
      </c>
      <c r="AC282" s="214">
        <v>996.8</v>
      </c>
      <c r="AD282" s="214">
        <v>0</v>
      </c>
      <c r="AE282" s="214">
        <v>3060.9</v>
      </c>
      <c r="AF282" s="221"/>
      <c r="AG282" s="221"/>
      <c r="AH282" s="221"/>
      <c r="AI282" s="227">
        <f t="shared" si="39"/>
        <v>136880.69999999998</v>
      </c>
      <c r="AJ282" s="220">
        <f t="shared" si="38"/>
        <v>135096</v>
      </c>
      <c r="AK282" s="217">
        <f t="shared" si="37"/>
        <v>5002.0870967741939</v>
      </c>
    </row>
    <row r="283" spans="3:39" s="218" customFormat="1" x14ac:dyDescent="0.2">
      <c r="C283" s="212">
        <f t="shared" si="36"/>
        <v>2016.9999908000136</v>
      </c>
      <c r="D283" s="213">
        <v>42705</v>
      </c>
      <c r="E283" s="214">
        <v>954.19354838709683</v>
      </c>
      <c r="F283" s="214">
        <v>320.64516129032256</v>
      </c>
      <c r="G283" s="214">
        <v>910.41935483870964</v>
      </c>
      <c r="H283" s="214">
        <v>845.61290322580646</v>
      </c>
      <c r="I283" s="214">
        <v>124.7741935483871</v>
      </c>
      <c r="J283" s="232">
        <v>3332.7419354838707</v>
      </c>
      <c r="K283" s="233"/>
      <c r="L283" s="214">
        <v>184.67741935483872</v>
      </c>
      <c r="M283" s="214">
        <v>10603.967741935483</v>
      </c>
      <c r="N283" s="214"/>
      <c r="O283" s="214">
        <v>3503.3548387096776</v>
      </c>
      <c r="P283" s="214"/>
      <c r="Q283" s="214">
        <v>41.548387096774192</v>
      </c>
      <c r="R283" s="214">
        <v>13.161290322580646</v>
      </c>
      <c r="S283" s="214">
        <v>9530.322580645161</v>
      </c>
      <c r="T283" s="214">
        <v>2205.1290322580644</v>
      </c>
      <c r="U283" s="214">
        <v>3879.0645161290322</v>
      </c>
      <c r="V283" s="214">
        <v>0</v>
      </c>
      <c r="W283" s="215"/>
      <c r="X283" s="214">
        <v>51973.645161290326</v>
      </c>
      <c r="Y283" s="214">
        <v>36020</v>
      </c>
      <c r="Z283" s="214">
        <v>9918.8064516129034</v>
      </c>
      <c r="AA283" s="214">
        <v>32.774193548387096</v>
      </c>
      <c r="AB283" s="214">
        <v>41.645161290322584</v>
      </c>
      <c r="AC283" s="214">
        <v>818.38709677419354</v>
      </c>
      <c r="AD283" s="214">
        <v>0</v>
      </c>
      <c r="AE283" s="214">
        <v>2952.9032258064517</v>
      </c>
      <c r="AF283" s="219"/>
      <c r="AG283" s="219"/>
      <c r="AH283" s="219"/>
      <c r="AI283" s="227">
        <f t="shared" si="39"/>
        <v>138207.77419354839</v>
      </c>
      <c r="AJ283" s="220">
        <f t="shared" si="38"/>
        <v>135096</v>
      </c>
      <c r="AK283" s="217">
        <f t="shared" si="37"/>
        <v>1327.0741935484111</v>
      </c>
    </row>
    <row r="284" spans="3:39" s="243" customFormat="1" x14ac:dyDescent="0.2">
      <c r="C284" s="241">
        <f t="shared" si="36"/>
        <v>2017.0833241000137</v>
      </c>
      <c r="D284" s="242">
        <v>42736</v>
      </c>
      <c r="E284" s="245">
        <v>921.35483870967744</v>
      </c>
      <c r="F284" s="245">
        <v>308.16129032258067</v>
      </c>
      <c r="G284" s="245">
        <v>922.41935483870964</v>
      </c>
      <c r="H284" s="245">
        <v>1435.7741935483871</v>
      </c>
      <c r="I284" s="245">
        <v>120.38709677419355</v>
      </c>
      <c r="J284" s="245">
        <v>3369.3870967741937</v>
      </c>
      <c r="K284" s="245"/>
      <c r="L284" s="245">
        <v>179.38709677419354</v>
      </c>
      <c r="M284" s="245">
        <v>11187.451612903225</v>
      </c>
      <c r="N284" s="245"/>
      <c r="O284" s="245">
        <v>3535.7096774193546</v>
      </c>
      <c r="P284" s="245"/>
      <c r="Q284" s="245">
        <v>38.322580645161288</v>
      </c>
      <c r="R284" s="245">
        <v>11.96774193548387</v>
      </c>
      <c r="S284" s="245">
        <v>9185</v>
      </c>
      <c r="T284" s="245">
        <v>378.64516129032256</v>
      </c>
      <c r="U284" s="245">
        <v>5753.2258064516127</v>
      </c>
      <c r="V284" s="245">
        <v>0</v>
      </c>
      <c r="W284" s="245"/>
      <c r="X284" s="245">
        <v>49614</v>
      </c>
      <c r="Y284" s="245">
        <v>32194.516129032258</v>
      </c>
      <c r="Z284" s="245">
        <v>10721.677419354839</v>
      </c>
      <c r="AA284" s="245">
        <v>65.516129032258064</v>
      </c>
      <c r="AB284" s="245">
        <v>0</v>
      </c>
      <c r="AC284" s="245">
        <v>1265.2258064516129</v>
      </c>
      <c r="AD284" s="245">
        <v>0</v>
      </c>
      <c r="AE284" s="245">
        <v>2836.7741935483873</v>
      </c>
      <c r="AF284" s="245">
        <v>0</v>
      </c>
      <c r="AG284" s="245">
        <v>0</v>
      </c>
      <c r="AH284" s="245">
        <v>0</v>
      </c>
      <c r="AI284" s="247">
        <f>SUM(E284:AH284)</f>
        <v>134044.90322580645</v>
      </c>
      <c r="AJ284" s="244">
        <v>135201</v>
      </c>
      <c r="AK284" s="244">
        <f t="shared" si="37"/>
        <v>-4162.8709677419392</v>
      </c>
      <c r="AL284" s="246"/>
    </row>
    <row r="285" spans="3:39" s="142" customFormat="1" x14ac:dyDescent="0.2">
      <c r="C285" s="241">
        <f t="shared" si="36"/>
        <v>2017.1666574000137</v>
      </c>
      <c r="D285" s="242">
        <v>42767</v>
      </c>
      <c r="AI285" s="248">
        <v>136482</v>
      </c>
      <c r="AJ285" s="248">
        <f>+AJ284</f>
        <v>135201</v>
      </c>
      <c r="AK285" s="244">
        <f t="shared" si="37"/>
        <v>2437.0967741935456</v>
      </c>
    </row>
    <row r="286" spans="3:39" s="142" customFormat="1" x14ac:dyDescent="0.2">
      <c r="C286" s="241">
        <f t="shared" si="36"/>
        <v>2017.2499907000138</v>
      </c>
      <c r="D286" s="242">
        <v>42795</v>
      </c>
      <c r="AI286" s="248">
        <v>134270</v>
      </c>
      <c r="AJ286" s="248">
        <v>134881</v>
      </c>
      <c r="AK286" s="244">
        <f t="shared" si="37"/>
        <v>-2212</v>
      </c>
    </row>
    <row r="287" spans="3:39" s="142" customFormat="1" x14ac:dyDescent="0.2">
      <c r="C287" s="241">
        <f t="shared" si="36"/>
        <v>2017.3333240000138</v>
      </c>
      <c r="D287" s="242">
        <v>42826</v>
      </c>
      <c r="F287" s="184"/>
      <c r="AI287" s="248">
        <v>128929</v>
      </c>
      <c r="AJ287" s="248">
        <v>133393</v>
      </c>
      <c r="AK287" s="244">
        <f t="shared" si="37"/>
        <v>-5341</v>
      </c>
    </row>
    <row r="288" spans="3:39" x14ac:dyDescent="0.2">
      <c r="C288" s="241">
        <f t="shared" si="36"/>
        <v>2017.4166573000139</v>
      </c>
      <c r="D288" s="242">
        <v>42856</v>
      </c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</row>
    <row r="289" spans="3:19" x14ac:dyDescent="0.2">
      <c r="C289" s="241">
        <f t="shared" si="36"/>
        <v>2017.4999906000139</v>
      </c>
      <c r="D289" s="242">
        <v>42887</v>
      </c>
    </row>
    <row r="290" spans="3:19" x14ac:dyDescent="0.2">
      <c r="S290" s="142"/>
    </row>
  </sheetData>
  <mergeCells count="194">
    <mergeCell ref="J273:K273"/>
    <mergeCell ref="J274:K274"/>
    <mergeCell ref="J275:K275"/>
    <mergeCell ref="J276:K276"/>
    <mergeCell ref="J277:K277"/>
    <mergeCell ref="J278:K278"/>
    <mergeCell ref="J272:K272"/>
    <mergeCell ref="J252:K252"/>
    <mergeCell ref="J253:K253"/>
    <mergeCell ref="J251:K251"/>
    <mergeCell ref="J250:K25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55:K255"/>
    <mergeCell ref="J242:K242"/>
    <mergeCell ref="J227:K227"/>
    <mergeCell ref="J229:K229"/>
    <mergeCell ref="J235:K235"/>
    <mergeCell ref="J243:K243"/>
    <mergeCell ref="J246:K246"/>
    <mergeCell ref="J247:K247"/>
    <mergeCell ref="J248:K248"/>
    <mergeCell ref="J249:K249"/>
    <mergeCell ref="J185:K185"/>
    <mergeCell ref="J195:K195"/>
    <mergeCell ref="J194:K194"/>
    <mergeCell ref="J211:K211"/>
    <mergeCell ref="J217:K217"/>
    <mergeCell ref="J215:K215"/>
    <mergeCell ref="J220:K220"/>
    <mergeCell ref="J197:K197"/>
    <mergeCell ref="J196:K196"/>
    <mergeCell ref="J192:K192"/>
    <mergeCell ref="J204:K204"/>
    <mergeCell ref="J200:K200"/>
    <mergeCell ref="J201:K201"/>
    <mergeCell ref="J210:K210"/>
    <mergeCell ref="J203:K203"/>
    <mergeCell ref="J202:K202"/>
    <mergeCell ref="J208:K208"/>
    <mergeCell ref="J209:K209"/>
    <mergeCell ref="J207:K207"/>
    <mergeCell ref="J205:K205"/>
    <mergeCell ref="J206:K206"/>
    <mergeCell ref="J212:K212"/>
    <mergeCell ref="J213:K213"/>
    <mergeCell ref="J218:K218"/>
    <mergeCell ref="J136:K136"/>
    <mergeCell ref="J131:K131"/>
    <mergeCell ref="J154:K154"/>
    <mergeCell ref="J153:K153"/>
    <mergeCell ref="J134:K134"/>
    <mergeCell ref="J191:K191"/>
    <mergeCell ref="J186:K186"/>
    <mergeCell ref="J146:K146"/>
    <mergeCell ref="J163:K163"/>
    <mergeCell ref="J166:K166"/>
    <mergeCell ref="J164:K164"/>
    <mergeCell ref="J188:K188"/>
    <mergeCell ref="J189:K189"/>
    <mergeCell ref="J190:K190"/>
    <mergeCell ref="J187:K187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65:K165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22:K122"/>
    <mergeCell ref="J149:K149"/>
    <mergeCell ref="J133:K133"/>
    <mergeCell ref="J126:K126"/>
    <mergeCell ref="J130:K130"/>
    <mergeCell ref="J145:K145"/>
    <mergeCell ref="J139:K139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85:K85"/>
    <mergeCell ref="J86:K86"/>
    <mergeCell ref="J87:K87"/>
    <mergeCell ref="J88:K88"/>
    <mergeCell ref="J93:K93"/>
    <mergeCell ref="J104:K104"/>
    <mergeCell ref="J105:K105"/>
    <mergeCell ref="J94:K94"/>
    <mergeCell ref="J95:K95"/>
    <mergeCell ref="J97:K97"/>
    <mergeCell ref="J103:K103"/>
    <mergeCell ref="J102:K102"/>
    <mergeCell ref="J100:K100"/>
    <mergeCell ref="J89:K89"/>
    <mergeCell ref="J90:K90"/>
    <mergeCell ref="J91:K91"/>
    <mergeCell ref="J92:K92"/>
    <mergeCell ref="J157:K157"/>
    <mergeCell ref="J199:K199"/>
    <mergeCell ref="J142:K142"/>
    <mergeCell ref="J169:K169"/>
    <mergeCell ref="J181:K181"/>
    <mergeCell ref="J179:K179"/>
    <mergeCell ref="J168:K168"/>
    <mergeCell ref="J167:K167"/>
    <mergeCell ref="J173:K173"/>
    <mergeCell ref="J172:K172"/>
    <mergeCell ref="J170:K170"/>
    <mergeCell ref="J171:K171"/>
    <mergeCell ref="J175:K175"/>
    <mergeCell ref="J193:K193"/>
    <mergeCell ref="J182:K182"/>
    <mergeCell ref="J183:K183"/>
    <mergeCell ref="J180:K180"/>
    <mergeCell ref="J177:K177"/>
    <mergeCell ref="J198:K198"/>
    <mergeCell ref="J178:K178"/>
    <mergeCell ref="J151:K151"/>
    <mergeCell ref="J176:K176"/>
    <mergeCell ref="J174:K174"/>
    <mergeCell ref="J184:K184"/>
    <mergeCell ref="J214:K214"/>
    <mergeCell ref="J219:K219"/>
    <mergeCell ref="J245:K245"/>
    <mergeCell ref="J231:K231"/>
    <mergeCell ref="J225:K225"/>
    <mergeCell ref="J223:K223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16:K216"/>
    <mergeCell ref="J221:K221"/>
    <mergeCell ref="J244:K244"/>
    <mergeCell ref="J240:K240"/>
    <mergeCell ref="J236:K236"/>
    <mergeCell ref="J234:K234"/>
    <mergeCell ref="J230:K230"/>
    <mergeCell ref="J239:K239"/>
  </mergeCells>
  <phoneticPr fontId="0" type="noConversion"/>
  <printOptions horizontalCentered="1" verticalCentered="1"/>
  <pageMargins left="0.78740157480314965" right="0.78740157480314965" top="0.41" bottom="0.28000000000000003" header="0.25" footer="0.23"/>
  <pageSetup scale="29" orientation="portrait" horizontalDpi="300" verticalDpi="180" r:id="rId1"/>
  <headerFooter alignWithMargins="0">
    <oddFooter xml:space="preserve">&amp;LSet-2012
</oddFooter>
  </headerFooter>
  <ignoredErrors>
    <ignoredError sqref="AI253:AI255 AI258:AI260 AI261:AI262 AI263:AI264 AI265:AI266 AI269:AI271 AI273:AI28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4:AU497"/>
  <sheetViews>
    <sheetView topLeftCell="F1" workbookViewId="0">
      <pane ySplit="4" topLeftCell="A263" activePane="bottomLeft" state="frozen"/>
      <selection activeCell="AI291" sqref="AI291"/>
      <selection pane="bottomLeft" activeCell="AI291" sqref="AI291"/>
    </sheetView>
  </sheetViews>
  <sheetFormatPr baseColWidth="10" defaultRowHeight="12.75" x14ac:dyDescent="0.2"/>
  <cols>
    <col min="1" max="1" width="2.140625" customWidth="1"/>
    <col min="2" max="2" width="5.140625" style="5" customWidth="1"/>
    <col min="4" max="4" width="11.28515625" style="31" customWidth="1"/>
    <col min="5" max="5" width="14.7109375" style="8" customWidth="1"/>
    <col min="6" max="6" width="9.140625" style="8" customWidth="1"/>
    <col min="7" max="7" width="11.5703125" bestFit="1" customWidth="1"/>
    <col min="8" max="8" width="12.28515625" customWidth="1"/>
    <col min="9" max="9" width="14.85546875" customWidth="1"/>
    <col min="10" max="10" width="14.42578125" customWidth="1"/>
    <col min="11" max="12" width="15" customWidth="1"/>
    <col min="13" max="13" width="10.42578125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65" t="s">
        <v>31</v>
      </c>
      <c r="AG11" s="265"/>
      <c r="AH11" s="265"/>
      <c r="AI11" s="265"/>
      <c r="AJ11" s="265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65" t="s">
        <v>32</v>
      </c>
      <c r="AG12" s="265"/>
      <c r="AH12" s="265"/>
      <c r="AI12" s="265"/>
      <c r="AJ12" s="265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65" t="s">
        <v>33</v>
      </c>
      <c r="AG13" s="265"/>
      <c r="AH13" s="265"/>
      <c r="AI13" s="265"/>
      <c r="AJ13" s="265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285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8629.1612903225814</v>
      </c>
      <c r="I256" s="182">
        <v>5569.0322580645161</v>
      </c>
      <c r="J256" s="182">
        <v>624992.16129032255</v>
      </c>
      <c r="K256" s="182">
        <v>531433.77419354836</v>
      </c>
      <c r="L256" s="182">
        <v>90899.580645161288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9" customFormat="1" x14ac:dyDescent="0.2">
      <c r="B257" s="185">
        <f t="shared" si="14"/>
        <v>2015.0833249000107</v>
      </c>
      <c r="C257" s="186">
        <v>42005</v>
      </c>
      <c r="D257" s="187">
        <v>9462.2258064516136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5607.9354838709678</v>
      </c>
      <c r="J257" s="187">
        <v>543248</v>
      </c>
      <c r="K257" s="187">
        <v>545663.48387096776</v>
      </c>
      <c r="L257" s="187">
        <v>86943.870967741939</v>
      </c>
      <c r="M257" s="187">
        <v>12718.741935483871</v>
      </c>
      <c r="N257" s="187">
        <f>+SUM(D257:M257)</f>
        <v>1233309.9032258063</v>
      </c>
      <c r="O257" s="187">
        <v>1294666.0900999999</v>
      </c>
      <c r="P257" s="188">
        <f>N257-N256</f>
        <v>-70223.548387096729</v>
      </c>
    </row>
    <row r="258" spans="1:16" s="189" customFormat="1" x14ac:dyDescent="0.2">
      <c r="B258" s="185">
        <f t="shared" si="14"/>
        <v>2015.1666582000107</v>
      </c>
      <c r="C258" s="186">
        <v>42036</v>
      </c>
      <c r="D258" s="187">
        <v>8833.7857142857138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10935.678571428571</v>
      </c>
      <c r="I258" s="187">
        <v>4576.3214285714284</v>
      </c>
      <c r="J258" s="187">
        <v>583878.07142857148</v>
      </c>
      <c r="K258" s="187">
        <v>513581.32142857142</v>
      </c>
      <c r="L258" s="187">
        <v>83334.071428571435</v>
      </c>
      <c r="M258" s="187">
        <v>14223.285714285714</v>
      </c>
      <c r="N258" s="187">
        <f t="shared" si="16"/>
        <v>1235733.75</v>
      </c>
      <c r="O258" s="187">
        <f>+O257</f>
        <v>1294666.0900999999</v>
      </c>
      <c r="P258" s="188">
        <f t="shared" si="12"/>
        <v>2423.8467741936911</v>
      </c>
    </row>
    <row r="259" spans="1:16" s="189" customFormat="1" x14ac:dyDescent="0.2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9418.9032258064508</v>
      </c>
      <c r="I259" s="187">
        <v>5308.3870967741932</v>
      </c>
      <c r="J259" s="187">
        <v>648717.80645161285</v>
      </c>
      <c r="K259" s="187">
        <v>459847.67741935485</v>
      </c>
      <c r="L259" s="187">
        <v>85955.193548387091</v>
      </c>
      <c r="M259" s="187">
        <v>14836.258064516129</v>
      </c>
      <c r="N259" s="187">
        <f t="shared" si="16"/>
        <v>1252104.5806451612</v>
      </c>
      <c r="O259" s="187">
        <f t="shared" ref="O259:O268" si="17">+O258</f>
        <v>1294666.0900999999</v>
      </c>
      <c r="P259" s="188">
        <f t="shared" si="12"/>
        <v>16370.830645161215</v>
      </c>
    </row>
    <row r="260" spans="1:16" s="189" customFormat="1" x14ac:dyDescent="0.2">
      <c r="B260" s="185">
        <f t="shared" si="14"/>
        <v>2015.3333248000108</v>
      </c>
      <c r="C260" s="186">
        <v>42095</v>
      </c>
      <c r="D260" s="187">
        <v>9274.7999999999993</v>
      </c>
      <c r="E260" s="187">
        <v>1581.2741766666666</v>
      </c>
      <c r="F260" s="187">
        <v>3099.2333333333331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594017.90183333331</v>
      </c>
      <c r="K260" s="187">
        <v>439317.15340999997</v>
      </c>
      <c r="L260" s="187">
        <v>63488.032713333334</v>
      </c>
      <c r="M260" s="187">
        <v>14572.772999999999</v>
      </c>
      <c r="N260" s="187">
        <f t="shared" si="16"/>
        <v>1153490.96845</v>
      </c>
      <c r="O260" s="187">
        <f t="shared" si="17"/>
        <v>1294666.0900999999</v>
      </c>
      <c r="P260" s="188">
        <f t="shared" ref="P260:P265" si="18">N260-N259</f>
        <v>-98613.612195161171</v>
      </c>
    </row>
    <row r="261" spans="1:16" s="189" customFormat="1" x14ac:dyDescent="0.2">
      <c r="B261" s="185">
        <f t="shared" si="14"/>
        <v>2015.4166581000109</v>
      </c>
      <c r="C261" s="186">
        <v>42125</v>
      </c>
      <c r="D261" s="187">
        <v>9211.9354838709678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8367.2258064516136</v>
      </c>
      <c r="I261" s="187">
        <v>7057.9677419354839</v>
      </c>
      <c r="J261" s="187">
        <v>616913.09677419357</v>
      </c>
      <c r="K261" s="187">
        <v>292298.3548387097</v>
      </c>
      <c r="L261" s="187">
        <v>57255.806451612902</v>
      </c>
      <c r="M261" s="187">
        <v>16405.612903225807</v>
      </c>
      <c r="N261" s="187">
        <f t="shared" si="16"/>
        <v>1025056.9677419355</v>
      </c>
      <c r="O261" s="187">
        <f t="shared" si="17"/>
        <v>1294666.0900999999</v>
      </c>
      <c r="P261" s="188">
        <f t="shared" si="18"/>
        <v>-128434.00070806453</v>
      </c>
    </row>
    <row r="262" spans="1:16" s="189" customFormat="1" x14ac:dyDescent="0.2">
      <c r="B262" s="185">
        <f t="shared" si="14"/>
        <v>2015.4999914000109</v>
      </c>
      <c r="C262" s="186">
        <v>42156</v>
      </c>
      <c r="D262" s="187">
        <v>9021.7333333333336</v>
      </c>
      <c r="E262" s="187">
        <v>2145.1999999999998</v>
      </c>
      <c r="F262" s="187">
        <v>3132.7333333333331</v>
      </c>
      <c r="G262" s="187">
        <v>14032.866666666667</v>
      </c>
      <c r="H262" s="187">
        <v>11017.8</v>
      </c>
      <c r="I262" s="187">
        <v>7550.0666666666666</v>
      </c>
      <c r="J262" s="187">
        <v>709752.16666666663</v>
      </c>
      <c r="K262" s="187">
        <v>493899.83333333331</v>
      </c>
      <c r="L262" s="187">
        <v>87204.46666666666</v>
      </c>
      <c r="M262" s="187">
        <v>13853.066666666668</v>
      </c>
      <c r="N262" s="187">
        <f t="shared" si="16"/>
        <v>1351609.9333333331</v>
      </c>
      <c r="O262" s="187">
        <f t="shared" si="17"/>
        <v>1294666.0900999999</v>
      </c>
      <c r="P262" s="188">
        <f t="shared" si="18"/>
        <v>326552.9655913976</v>
      </c>
    </row>
    <row r="263" spans="1:16" s="189" customFormat="1" x14ac:dyDescent="0.2">
      <c r="B263" s="185">
        <f t="shared" si="14"/>
        <v>2015.583324700011</v>
      </c>
      <c r="C263" s="186">
        <v>42186</v>
      </c>
      <c r="D263" s="187">
        <v>8545.8709677419356</v>
      </c>
      <c r="E263" s="187">
        <v>2170.0645161290322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690871.58064516133</v>
      </c>
      <c r="K263" s="187">
        <v>413778.67741935485</v>
      </c>
      <c r="L263" s="187">
        <v>66311</v>
      </c>
      <c r="M263" s="187">
        <v>11851</v>
      </c>
      <c r="N263" s="187">
        <f t="shared" ref="N263:N268" si="19">+SUM(D263:M263)</f>
        <v>1225001.4516129033</v>
      </c>
      <c r="O263" s="187">
        <f t="shared" si="17"/>
        <v>1294666.0900999999</v>
      </c>
      <c r="P263" s="188">
        <f t="shared" si="18"/>
        <v>-126608.48172042985</v>
      </c>
    </row>
    <row r="264" spans="1:16" s="189" customFormat="1" x14ac:dyDescent="0.2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2248.9354838709678</v>
      </c>
      <c r="F264" s="187">
        <v>2970.483870967742</v>
      </c>
      <c r="G264" s="187">
        <v>14873</v>
      </c>
      <c r="H264" s="187">
        <v>10305.161290322581</v>
      </c>
      <c r="I264" s="187">
        <v>7934.4193548387093</v>
      </c>
      <c r="J264" s="187">
        <v>690308.41935483867</v>
      </c>
      <c r="K264" s="187">
        <v>114776.03225806452</v>
      </c>
      <c r="L264" s="187">
        <v>36666.870967741932</v>
      </c>
      <c r="M264" s="187">
        <v>27430.451612903227</v>
      </c>
      <c r="N264" s="187">
        <f t="shared" si="19"/>
        <v>917233.74193548388</v>
      </c>
      <c r="O264" s="187">
        <f t="shared" si="17"/>
        <v>1294666.0900999999</v>
      </c>
      <c r="P264" s="188">
        <f t="shared" si="18"/>
        <v>-307767.70967741939</v>
      </c>
    </row>
    <row r="265" spans="1:16" s="189" customFormat="1" x14ac:dyDescent="0.2">
      <c r="B265" s="185">
        <f t="shared" si="14"/>
        <v>2015.7499913000111</v>
      </c>
      <c r="C265" s="186">
        <v>42248</v>
      </c>
      <c r="D265" s="187">
        <v>10156.733333333334</v>
      </c>
      <c r="E265" s="187">
        <v>2365.1999999999998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660422.72666666668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1294666.0900999999</v>
      </c>
      <c r="P265" s="188">
        <f t="shared" si="18"/>
        <v>149264.12573118298</v>
      </c>
    </row>
    <row r="266" spans="1:16" s="189" customFormat="1" x14ac:dyDescent="0.2">
      <c r="B266" s="185">
        <f t="shared" si="14"/>
        <v>2015.8333246000111</v>
      </c>
      <c r="C266" s="186">
        <v>42278</v>
      </c>
      <c r="D266" s="187">
        <v>10230.096774193549</v>
      </c>
      <c r="E266" s="187">
        <v>2386.1280645161291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724629.96709677426</v>
      </c>
      <c r="K266" s="187">
        <v>495241.04870967742</v>
      </c>
      <c r="L266" s="187">
        <v>85658.413225806449</v>
      </c>
      <c r="M266" s="187">
        <v>19667.453548387097</v>
      </c>
      <c r="N266" s="187">
        <f t="shared" si="19"/>
        <v>1372026.7996774197</v>
      </c>
      <c r="O266" s="187">
        <f t="shared" si="17"/>
        <v>1294666.0900999999</v>
      </c>
      <c r="P266" s="188">
        <f>N266-N265</f>
        <v>305528.93201075285</v>
      </c>
    </row>
    <row r="267" spans="1:16" s="189" customFormat="1" x14ac:dyDescent="0.2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2416.2333333333331</v>
      </c>
      <c r="F267" s="187">
        <v>2855.1</v>
      </c>
      <c r="G267" s="187">
        <v>13881.633333333333</v>
      </c>
      <c r="H267" s="187">
        <v>12016.9</v>
      </c>
      <c r="I267" s="187">
        <v>6130.5666666666666</v>
      </c>
      <c r="J267" s="187">
        <v>703397.93333333335</v>
      </c>
      <c r="K267" s="187">
        <v>491247.8</v>
      </c>
      <c r="L267" s="187">
        <v>94854.566666666666</v>
      </c>
      <c r="M267" s="187">
        <v>16332.566666666668</v>
      </c>
      <c r="N267" s="187">
        <f t="shared" si="19"/>
        <v>1353317.1333333333</v>
      </c>
      <c r="O267" s="187">
        <f t="shared" si="17"/>
        <v>1294666.0900999999</v>
      </c>
      <c r="P267" s="188">
        <f>N267-N266</f>
        <v>-18709.666344086407</v>
      </c>
    </row>
    <row r="268" spans="1:16" s="189" customFormat="1" x14ac:dyDescent="0.2">
      <c r="B268" s="185">
        <f t="shared" si="14"/>
        <v>2015.9999912000112</v>
      </c>
      <c r="C268" s="195">
        <v>42339</v>
      </c>
      <c r="D268" s="196">
        <v>10131.967741935483</v>
      </c>
      <c r="E268" s="196">
        <v>2217.6129032258063</v>
      </c>
      <c r="F268" s="196">
        <v>3148.7419354838707</v>
      </c>
      <c r="G268" s="196">
        <v>12455.548387096775</v>
      </c>
      <c r="H268" s="196">
        <v>10061.935483870968</v>
      </c>
      <c r="I268" s="196">
        <v>7175.3870967741932</v>
      </c>
      <c r="J268" s="196">
        <v>658062.03225806449</v>
      </c>
      <c r="K268" s="196">
        <v>529471.93548387091</v>
      </c>
      <c r="L268" s="196">
        <v>74477.419354838712</v>
      </c>
      <c r="M268" s="196">
        <v>19378.290322580644</v>
      </c>
      <c r="N268" s="196">
        <f t="shared" si="19"/>
        <v>1326580.8709677418</v>
      </c>
      <c r="O268" s="196">
        <f t="shared" si="17"/>
        <v>1294666.0900999999</v>
      </c>
      <c r="P268" s="197">
        <f>N268-N267</f>
        <v>-26736.262365591479</v>
      </c>
    </row>
    <row r="269" spans="1:16" x14ac:dyDescent="0.2">
      <c r="A269" s="189"/>
      <c r="B269" s="185">
        <f t="shared" si="14"/>
        <v>2016.0833245000113</v>
      </c>
      <c r="C269" s="236">
        <v>42370</v>
      </c>
      <c r="D269" s="206">
        <v>8343.032258064517</v>
      </c>
      <c r="E269" s="206">
        <v>2070.0967741935483</v>
      </c>
      <c r="F269" s="206">
        <v>3098</v>
      </c>
      <c r="G269" s="206">
        <v>11397.064516129032</v>
      </c>
      <c r="H269" s="206">
        <v>10120.903225806451</v>
      </c>
      <c r="I269" s="206">
        <v>7483.4193548387093</v>
      </c>
      <c r="J269" s="206">
        <v>559286.12903225806</v>
      </c>
      <c r="K269" s="206">
        <v>303206.38709677418</v>
      </c>
      <c r="L269" s="206">
        <v>63920.258064516129</v>
      </c>
      <c r="M269" s="206">
        <v>29750.032258064515</v>
      </c>
      <c r="N269" s="206">
        <f t="shared" ref="N269:N278" si="20">+SUM(D269:M269)</f>
        <v>998675.32258064509</v>
      </c>
      <c r="O269" s="237">
        <v>1350904.1949</v>
      </c>
      <c r="P269" s="206">
        <f>N269-N268</f>
        <v>-327905.54838709673</v>
      </c>
    </row>
    <row r="270" spans="1:16" s="5" customFormat="1" ht="13.5" customHeight="1" x14ac:dyDescent="0.2">
      <c r="A270" s="189"/>
      <c r="B270" s="185">
        <f t="shared" si="14"/>
        <v>2016.1666578000113</v>
      </c>
      <c r="C270" s="236">
        <v>42401</v>
      </c>
      <c r="D270" s="206">
        <v>8595.689655172413</v>
      </c>
      <c r="E270" s="206">
        <v>1920.4317137931034</v>
      </c>
      <c r="F270" s="206">
        <v>3109.4482758620688</v>
      </c>
      <c r="G270" s="206">
        <v>13098.068965517241</v>
      </c>
      <c r="H270" s="206">
        <v>8577.0051310344825</v>
      </c>
      <c r="I270" s="206">
        <v>7077.8932999999997</v>
      </c>
      <c r="J270" s="206">
        <v>652481.16996551724</v>
      </c>
      <c r="K270" s="206">
        <v>317178.39746206894</v>
      </c>
      <c r="L270" s="206">
        <v>32485.054548275861</v>
      </c>
      <c r="M270" s="206">
        <v>18702.80979310345</v>
      </c>
      <c r="N270" s="206">
        <f t="shared" si="20"/>
        <v>1063225.9688103448</v>
      </c>
      <c r="O270" s="234">
        <f>+O269</f>
        <v>1350904.1949</v>
      </c>
      <c r="P270" s="206">
        <f t="shared" ref="P270:P278" si="21">N270-N269</f>
        <v>64550.64622969972</v>
      </c>
    </row>
    <row r="271" spans="1:16" s="5" customFormat="1" x14ac:dyDescent="0.2">
      <c r="A271" s="189"/>
      <c r="B271" s="185">
        <f t="shared" si="14"/>
        <v>2016.2499911000114</v>
      </c>
      <c r="C271" s="236">
        <v>42430</v>
      </c>
      <c r="D271" s="206">
        <v>8281.8064516129034</v>
      </c>
      <c r="E271" s="206">
        <v>1988.3555387096774</v>
      </c>
      <c r="F271" s="206">
        <v>3155.6129032258063</v>
      </c>
      <c r="G271" s="206">
        <v>13441.677419354839</v>
      </c>
      <c r="H271" s="206">
        <v>10717.439774193548</v>
      </c>
      <c r="I271" s="206">
        <v>7185.5603516129031</v>
      </c>
      <c r="J271" s="206">
        <v>637085.91187741933</v>
      </c>
      <c r="K271" s="206">
        <v>511111.62507096777</v>
      </c>
      <c r="L271" s="206">
        <v>91207.169709677415</v>
      </c>
      <c r="M271" s="206">
        <v>13644.514280645162</v>
      </c>
      <c r="N271" s="206">
        <f t="shared" si="20"/>
        <v>1297819.6733774194</v>
      </c>
      <c r="O271" s="235">
        <f>+O270</f>
        <v>1350904.1949</v>
      </c>
      <c r="P271" s="206">
        <f t="shared" si="21"/>
        <v>234593.70456707454</v>
      </c>
    </row>
    <row r="272" spans="1:16" s="5" customFormat="1" x14ac:dyDescent="0.2">
      <c r="A272" s="189"/>
      <c r="B272" s="185">
        <f t="shared" si="14"/>
        <v>2016.3333244000114</v>
      </c>
      <c r="C272" s="236">
        <v>42461</v>
      </c>
      <c r="D272" s="206">
        <v>7452.2666666666664</v>
      </c>
      <c r="E272" s="206">
        <v>2188.4666666666667</v>
      </c>
      <c r="F272" s="206">
        <v>3042.6</v>
      </c>
      <c r="G272" s="206">
        <v>13807.9</v>
      </c>
      <c r="H272" s="206">
        <v>10368.200000000001</v>
      </c>
      <c r="I272" s="206">
        <v>7293.9</v>
      </c>
      <c r="J272" s="206">
        <v>626729.8666666667</v>
      </c>
      <c r="K272" s="206">
        <v>511646</v>
      </c>
      <c r="L272" s="206">
        <v>115935.1</v>
      </c>
      <c r="M272" s="206">
        <v>15149.566666666668</v>
      </c>
      <c r="N272" s="206">
        <f t="shared" si="20"/>
        <v>1313613.8666666669</v>
      </c>
      <c r="O272" s="235">
        <f>+O271</f>
        <v>1350904.1949</v>
      </c>
      <c r="P272" s="206">
        <f t="shared" si="21"/>
        <v>15794.193289247574</v>
      </c>
    </row>
    <row r="273" spans="1:18" x14ac:dyDescent="0.2">
      <c r="A273" s="189"/>
      <c r="B273" s="185">
        <f t="shared" si="14"/>
        <v>2016.4166577000115</v>
      </c>
      <c r="C273" s="236">
        <v>42491</v>
      </c>
      <c r="D273" s="206">
        <v>7816.7419354838712</v>
      </c>
      <c r="E273" s="206">
        <v>2153.7096774193546</v>
      </c>
      <c r="F273" s="206">
        <v>3037.8709677419356</v>
      </c>
      <c r="G273" s="206">
        <v>15118.161290322581</v>
      </c>
      <c r="H273" s="206">
        <v>8919.9354838709678</v>
      </c>
      <c r="I273" s="206">
        <v>6482.4516129032254</v>
      </c>
      <c r="J273" s="206">
        <v>739284.67741935479</v>
      </c>
      <c r="K273" s="206">
        <v>471128.87096774194</v>
      </c>
      <c r="L273" s="206">
        <v>179549.4193548387</v>
      </c>
      <c r="M273" s="206">
        <v>13036.322580645161</v>
      </c>
      <c r="N273" s="206">
        <f t="shared" si="20"/>
        <v>1446528.1612903227</v>
      </c>
      <c r="O273" s="234">
        <f t="shared" ref="O273:O280" si="22">+O272</f>
        <v>1350904.1949</v>
      </c>
      <c r="P273" s="206">
        <f t="shared" si="21"/>
        <v>132914.29462365573</v>
      </c>
    </row>
    <row r="274" spans="1:18" x14ac:dyDescent="0.2">
      <c r="A274" s="189"/>
      <c r="B274" s="185">
        <f t="shared" si="14"/>
        <v>2016.4999910000115</v>
      </c>
      <c r="C274" s="236">
        <v>42522</v>
      </c>
      <c r="D274" s="206">
        <v>7979.9</v>
      </c>
      <c r="E274" s="206">
        <v>2412.9</v>
      </c>
      <c r="F274" s="206">
        <v>3162.4333333333334</v>
      </c>
      <c r="G274" s="206">
        <v>15093.5</v>
      </c>
      <c r="H274" s="206">
        <v>10269.1</v>
      </c>
      <c r="I274" s="206">
        <v>8090.4</v>
      </c>
      <c r="J274" s="206">
        <v>781856.8666666667</v>
      </c>
      <c r="K274" s="206">
        <v>329147.03333333333</v>
      </c>
      <c r="L274" s="206">
        <v>143244.43333333332</v>
      </c>
      <c r="M274" s="206">
        <v>24832.400000000001</v>
      </c>
      <c r="N274" s="206">
        <f t="shared" si="20"/>
        <v>1326088.9666666666</v>
      </c>
      <c r="O274" s="235">
        <f t="shared" si="22"/>
        <v>1350904.1949</v>
      </c>
      <c r="P274" s="206">
        <f>N274-N273</f>
        <v>-120439.19462365611</v>
      </c>
      <c r="R274" s="4"/>
    </row>
    <row r="275" spans="1:18" x14ac:dyDescent="0.2">
      <c r="A275" s="189"/>
      <c r="B275" s="185">
        <f t="shared" si="14"/>
        <v>2016.5833243000116</v>
      </c>
      <c r="C275" s="236">
        <v>42552</v>
      </c>
      <c r="D275" s="206">
        <v>7704.1290322580644</v>
      </c>
      <c r="E275" s="206">
        <v>2297.9354838709678</v>
      </c>
      <c r="F275" s="206">
        <v>3116.8709677419356</v>
      </c>
      <c r="G275" s="206">
        <v>16026.870967741936</v>
      </c>
      <c r="H275" s="206">
        <v>11230.870967741936</v>
      </c>
      <c r="I275" s="206">
        <v>8421.5161290322576</v>
      </c>
      <c r="J275" s="206">
        <v>792049.48387096776</v>
      </c>
      <c r="K275" s="206">
        <v>480176.19354838709</v>
      </c>
      <c r="L275" s="206">
        <v>182516.51612903227</v>
      </c>
      <c r="M275" s="206">
        <v>8831.6129032258068</v>
      </c>
      <c r="N275" s="206">
        <f t="shared" si="20"/>
        <v>1512372</v>
      </c>
      <c r="O275" s="235">
        <f t="shared" si="22"/>
        <v>1350904.1949</v>
      </c>
      <c r="P275" s="206">
        <f t="shared" si="21"/>
        <v>186283.03333333344</v>
      </c>
    </row>
    <row r="276" spans="1:18" x14ac:dyDescent="0.2">
      <c r="A276" s="189"/>
      <c r="B276" s="185">
        <f t="shared" si="14"/>
        <v>2016.6666576000116</v>
      </c>
      <c r="C276" s="236">
        <v>42583</v>
      </c>
      <c r="D276" s="206">
        <v>8428.8064516129034</v>
      </c>
      <c r="E276" s="206">
        <v>2428.9559419354837</v>
      </c>
      <c r="F276" s="206">
        <v>3353.3225806451615</v>
      </c>
      <c r="G276" s="206">
        <v>15589.838709677419</v>
      </c>
      <c r="H276" s="206">
        <v>10503.894451612903</v>
      </c>
      <c r="I276" s="206">
        <v>7914.0951677419353</v>
      </c>
      <c r="J276" s="206">
        <v>754020.01422258071</v>
      </c>
      <c r="K276" s="206">
        <v>478459.91600322578</v>
      </c>
      <c r="L276" s="206">
        <v>181140.33896451612</v>
      </c>
      <c r="M276" s="206">
        <v>6265.342096774194</v>
      </c>
      <c r="N276" s="206">
        <f t="shared" si="20"/>
        <v>1468104.5245903225</v>
      </c>
      <c r="O276" s="234">
        <f t="shared" si="22"/>
        <v>1350904.1949</v>
      </c>
      <c r="P276" s="206">
        <f t="shared" si="21"/>
        <v>-44267.475409677485</v>
      </c>
    </row>
    <row r="277" spans="1:18" x14ac:dyDescent="0.2">
      <c r="A277" s="189"/>
      <c r="B277" s="185">
        <f t="shared" si="14"/>
        <v>2016.7499909000117</v>
      </c>
      <c r="C277" s="236">
        <v>42614</v>
      </c>
      <c r="D277" s="206">
        <v>8989.5666666666675</v>
      </c>
      <c r="E277" s="206">
        <v>2683.4080200000003</v>
      </c>
      <c r="F277" s="206">
        <v>3036.2666666666669</v>
      </c>
      <c r="G277" s="206">
        <v>15015.933333333332</v>
      </c>
      <c r="H277" s="206">
        <v>9905.5259000000005</v>
      </c>
      <c r="I277" s="206">
        <v>8128.5949266666667</v>
      </c>
      <c r="J277" s="206">
        <v>678021.24197333329</v>
      </c>
      <c r="K277" s="206">
        <v>501939.91141</v>
      </c>
      <c r="L277" s="206">
        <v>158650.46111999999</v>
      </c>
      <c r="M277" s="206">
        <v>4629.1428333333333</v>
      </c>
      <c r="N277" s="206">
        <f t="shared" si="20"/>
        <v>1391000.0528499999</v>
      </c>
      <c r="O277" s="235">
        <f t="shared" si="22"/>
        <v>1350904.1949</v>
      </c>
      <c r="P277" s="206">
        <f t="shared" si="21"/>
        <v>-77104.471740322653</v>
      </c>
    </row>
    <row r="278" spans="1:18" x14ac:dyDescent="0.2">
      <c r="A278" s="189"/>
      <c r="B278" s="185">
        <f t="shared" si="14"/>
        <v>2016.8333242000117</v>
      </c>
      <c r="C278" s="236">
        <v>42644</v>
      </c>
      <c r="D278" s="206">
        <v>8977.0645161290322</v>
      </c>
      <c r="E278" s="206">
        <v>2737.9128322580646</v>
      </c>
      <c r="F278" s="206">
        <v>3318.8387096774195</v>
      </c>
      <c r="G278" s="206">
        <v>15664.58064516129</v>
      </c>
      <c r="H278" s="206">
        <v>10048.891483870968</v>
      </c>
      <c r="I278" s="206">
        <v>8450.0814580645165</v>
      </c>
      <c r="J278" s="206">
        <v>701969.90909677418</v>
      </c>
      <c r="K278" s="206">
        <v>481197.28746451612</v>
      </c>
      <c r="L278" s="206">
        <v>157489.69903225807</v>
      </c>
      <c r="M278" s="206">
        <v>10242.167096774194</v>
      </c>
      <c r="N278" s="206">
        <f t="shared" si="20"/>
        <v>1400096.4323354836</v>
      </c>
      <c r="O278" s="235">
        <f t="shared" si="22"/>
        <v>1350904.1949</v>
      </c>
      <c r="P278" s="206">
        <f t="shared" si="21"/>
        <v>9096.379485483747</v>
      </c>
    </row>
    <row r="279" spans="1:18" x14ac:dyDescent="0.2">
      <c r="A279" s="189"/>
      <c r="B279" s="185">
        <f t="shared" si="14"/>
        <v>2016.9166575000118</v>
      </c>
      <c r="C279" s="236">
        <v>42675</v>
      </c>
      <c r="D279" s="206">
        <v>8435.1333333333332</v>
      </c>
      <c r="E279" s="206">
        <v>2718.0299799999998</v>
      </c>
      <c r="F279" s="206">
        <v>3281.8666666666668</v>
      </c>
      <c r="G279" s="206">
        <v>15555.366666666667</v>
      </c>
      <c r="H279" s="206">
        <v>10897.418966666668</v>
      </c>
      <c r="I279" s="206">
        <v>7918.9320366666661</v>
      </c>
      <c r="J279" s="206">
        <v>808606.64685999998</v>
      </c>
      <c r="K279" s="206">
        <v>509275.32376999996</v>
      </c>
      <c r="L279" s="206">
        <v>161531.01057333333</v>
      </c>
      <c r="M279" s="206">
        <v>6048.9571699999997</v>
      </c>
      <c r="N279" s="206">
        <f>+SUM(D279:M279)</f>
        <v>1534268.6860233333</v>
      </c>
      <c r="O279" s="234">
        <f t="shared" si="22"/>
        <v>1350904.1949</v>
      </c>
      <c r="P279" s="206">
        <f t="shared" ref="P279:P284" si="23">N279-N278</f>
        <v>134172.25368784973</v>
      </c>
    </row>
    <row r="280" spans="1:18" x14ac:dyDescent="0.2">
      <c r="A280" s="189"/>
      <c r="B280" s="185">
        <f t="shared" si="14"/>
        <v>2016.9999908000118</v>
      </c>
      <c r="C280" s="236">
        <v>42705</v>
      </c>
      <c r="D280" s="206">
        <v>8295.8387096774186</v>
      </c>
      <c r="E280" s="206">
        <v>2468.898587096774</v>
      </c>
      <c r="F280" s="206">
        <v>3205.9032258064517</v>
      </c>
      <c r="G280" s="206">
        <v>15359.774193548386</v>
      </c>
      <c r="H280" s="206">
        <v>11283.790096774193</v>
      </c>
      <c r="I280" s="206">
        <v>7486.5774483870973</v>
      </c>
      <c r="J280" s="206">
        <v>739194.30818709685</v>
      </c>
      <c r="K280" s="206">
        <v>507609.01470322581</v>
      </c>
      <c r="L280" s="206">
        <v>150716.28651935485</v>
      </c>
      <c r="M280" s="206">
        <v>81.387096774193552</v>
      </c>
      <c r="N280" s="206">
        <f>+SUM(D280:M280)</f>
        <v>1445701.7787677422</v>
      </c>
      <c r="O280" s="235">
        <f t="shared" si="22"/>
        <v>1350904.1949</v>
      </c>
      <c r="P280" s="206">
        <f t="shared" si="23"/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1201720.7705999999</v>
      </c>
      <c r="P281" s="128">
        <f t="shared" si="23"/>
        <v>-222187.25539354864</v>
      </c>
    </row>
    <row r="282" spans="1:18" s="5" customFormat="1" x14ac:dyDescent="0.2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1201720.7705999999</v>
      </c>
      <c r="P282" s="128">
        <f t="shared" si="23"/>
        <v>-45922.550474193646</v>
      </c>
    </row>
    <row r="283" spans="1:18" s="5" customFormat="1" x14ac:dyDescent="0.2">
      <c r="B283" s="125">
        <f t="shared" si="14"/>
        <v>2017.2499907000119</v>
      </c>
      <c r="C283" s="132">
        <v>42795</v>
      </c>
      <c r="N283" s="128">
        <v>1204775.2013000001</v>
      </c>
      <c r="O283" s="128">
        <v>1202772.8522000001</v>
      </c>
      <c r="P283" s="128">
        <f t="shared" si="23"/>
        <v>27183.228400000138</v>
      </c>
    </row>
    <row r="284" spans="1:18" s="5" customFormat="1" x14ac:dyDescent="0.2">
      <c r="B284" s="125">
        <f t="shared" si="14"/>
        <v>2017.333324000012</v>
      </c>
      <c r="C284" s="132">
        <v>42826</v>
      </c>
      <c r="N284" s="128">
        <v>1143093.7067</v>
      </c>
      <c r="O284" s="128">
        <v>1187853.0658</v>
      </c>
      <c r="P284" s="128">
        <f t="shared" si="23"/>
        <v>-61681.494600000093</v>
      </c>
    </row>
    <row r="285" spans="1:18" x14ac:dyDescent="0.2">
      <c r="B285" s="125">
        <f t="shared" si="14"/>
        <v>2017.416657300012</v>
      </c>
      <c r="C285" s="132">
        <v>42856</v>
      </c>
      <c r="D285"/>
      <c r="E285"/>
      <c r="F285"/>
    </row>
    <row r="286" spans="1:18" x14ac:dyDescent="0.2">
      <c r="B286"/>
      <c r="D286"/>
      <c r="E286"/>
      <c r="F286"/>
    </row>
    <row r="287" spans="1:18" x14ac:dyDescent="0.2">
      <c r="B287"/>
      <c r="D287"/>
      <c r="E287" s="20"/>
      <c r="F287" s="20"/>
      <c r="P287" s="1"/>
    </row>
    <row r="288" spans="1:18" x14ac:dyDescent="0.2">
      <c r="B288"/>
      <c r="D288"/>
      <c r="E288" s="20"/>
      <c r="F288" s="20"/>
    </row>
    <row r="289" spans="2:6" x14ac:dyDescent="0.2">
      <c r="B289"/>
      <c r="D289"/>
      <c r="E289" s="20"/>
      <c r="F289" s="20"/>
    </row>
    <row r="290" spans="2:6" x14ac:dyDescent="0.2">
      <c r="B290"/>
      <c r="D290"/>
      <c r="E290" s="20"/>
      <c r="F290" s="20"/>
    </row>
    <row r="291" spans="2:6" x14ac:dyDescent="0.2">
      <c r="B291"/>
      <c r="D291"/>
      <c r="E291" s="20"/>
      <c r="F291" s="20"/>
    </row>
    <row r="292" spans="2:6" x14ac:dyDescent="0.2">
      <c r="B292"/>
      <c r="D292"/>
      <c r="E292" s="20"/>
      <c r="F292" s="20"/>
    </row>
    <row r="293" spans="2:6" x14ac:dyDescent="0.2">
      <c r="B293"/>
      <c r="D293"/>
      <c r="E293" s="20"/>
      <c r="F293" s="20"/>
    </row>
    <row r="294" spans="2:6" x14ac:dyDescent="0.2">
      <c r="B294"/>
      <c r="D294"/>
      <c r="E294" s="20"/>
      <c r="F294" s="20"/>
    </row>
    <row r="295" spans="2:6" x14ac:dyDescent="0.2">
      <c r="B295"/>
      <c r="D295"/>
      <c r="E295" s="20"/>
      <c r="F295" s="20"/>
    </row>
    <row r="296" spans="2:6" x14ac:dyDescent="0.2">
      <c r="B296"/>
      <c r="D296"/>
      <c r="E296" s="20"/>
      <c r="F296" s="20"/>
    </row>
    <row r="297" spans="2:6" x14ac:dyDescent="0.2">
      <c r="B297"/>
      <c r="D297"/>
      <c r="E297" s="20"/>
      <c r="F297" s="20"/>
    </row>
    <row r="298" spans="2:6" x14ac:dyDescent="0.2">
      <c r="B298"/>
      <c r="D298"/>
      <c r="E298" s="20"/>
      <c r="F298" s="20"/>
    </row>
    <row r="299" spans="2:6" x14ac:dyDescent="0.2">
      <c r="B299"/>
      <c r="D299"/>
      <c r="E299" s="20"/>
      <c r="F299" s="20"/>
    </row>
    <row r="300" spans="2:6" x14ac:dyDescent="0.2">
      <c r="B300"/>
      <c r="D300"/>
      <c r="E300" s="20"/>
      <c r="F300" s="20"/>
    </row>
    <row r="301" spans="2:6" x14ac:dyDescent="0.2">
      <c r="B301"/>
      <c r="D301"/>
      <c r="E301" s="20"/>
      <c r="F301" s="20"/>
    </row>
    <row r="302" spans="2:6" x14ac:dyDescent="0.2">
      <c r="B302"/>
      <c r="D302"/>
      <c r="E302" s="20"/>
      <c r="F302" s="20"/>
    </row>
    <row r="303" spans="2:6" x14ac:dyDescent="0.2">
      <c r="B303"/>
      <c r="D303"/>
      <c r="E303" s="20"/>
      <c r="F303" s="20"/>
    </row>
    <row r="304" spans="2:6" x14ac:dyDescent="0.2">
      <c r="B304"/>
      <c r="D304"/>
      <c r="E304" s="20"/>
      <c r="F304" s="20"/>
    </row>
    <row r="305" spans="2:6" x14ac:dyDescent="0.2">
      <c r="B305"/>
      <c r="D305"/>
      <c r="E305" s="20"/>
      <c r="F305" s="20"/>
    </row>
    <row r="306" spans="2:6" x14ac:dyDescent="0.2">
      <c r="B306"/>
      <c r="D306"/>
      <c r="E306" s="20"/>
      <c r="F306" s="20"/>
    </row>
    <row r="307" spans="2:6" x14ac:dyDescent="0.2">
      <c r="B307"/>
      <c r="D307"/>
      <c r="E307" s="20"/>
      <c r="F307" s="20"/>
    </row>
    <row r="308" spans="2:6" x14ac:dyDescent="0.2">
      <c r="B308"/>
      <c r="D308"/>
      <c r="E308" s="20"/>
      <c r="F308" s="20"/>
    </row>
    <row r="309" spans="2:6" x14ac:dyDescent="0.2">
      <c r="B309"/>
      <c r="D309"/>
      <c r="E309" s="20"/>
      <c r="F309" s="20"/>
    </row>
    <row r="310" spans="2:6" x14ac:dyDescent="0.2">
      <c r="B310"/>
      <c r="D310"/>
      <c r="E310" s="20"/>
      <c r="F310" s="20"/>
    </row>
    <row r="311" spans="2:6" x14ac:dyDescent="0.2">
      <c r="B311"/>
      <c r="D311"/>
      <c r="E311" s="20"/>
      <c r="F311" s="20"/>
    </row>
    <row r="312" spans="2:6" x14ac:dyDescent="0.2">
      <c r="B312"/>
      <c r="D312"/>
      <c r="E312" s="20"/>
      <c r="F312" s="20"/>
    </row>
    <row r="313" spans="2:6" x14ac:dyDescent="0.2">
      <c r="B313"/>
      <c r="D313"/>
      <c r="E313" s="20"/>
      <c r="F313" s="20"/>
    </row>
    <row r="314" spans="2:6" x14ac:dyDescent="0.2">
      <c r="B314"/>
      <c r="D314"/>
      <c r="E314" s="20"/>
      <c r="F314" s="20"/>
    </row>
    <row r="315" spans="2:6" x14ac:dyDescent="0.2">
      <c r="B315"/>
      <c r="D315"/>
      <c r="E315" s="20"/>
      <c r="F315" s="20"/>
    </row>
    <row r="316" spans="2:6" x14ac:dyDescent="0.2">
      <c r="B316"/>
      <c r="D316"/>
      <c r="E316" s="20"/>
      <c r="F316" s="20"/>
    </row>
    <row r="317" spans="2:6" x14ac:dyDescent="0.2">
      <c r="B317"/>
      <c r="D317"/>
      <c r="E317" s="20"/>
      <c r="F317" s="20"/>
    </row>
    <row r="318" spans="2:6" x14ac:dyDescent="0.2">
      <c r="B318"/>
      <c r="D318"/>
      <c r="E318" s="20"/>
      <c r="F318" s="20"/>
    </row>
    <row r="319" spans="2:6" x14ac:dyDescent="0.2">
      <c r="B319"/>
      <c r="D319"/>
      <c r="E319" s="20"/>
      <c r="F319" s="20"/>
    </row>
    <row r="320" spans="2:6" x14ac:dyDescent="0.2">
      <c r="B320"/>
      <c r="D320"/>
      <c r="E320" s="20"/>
      <c r="F320" s="20"/>
    </row>
    <row r="321" spans="2:6" x14ac:dyDescent="0.2">
      <c r="B321"/>
      <c r="D321"/>
      <c r="E321" s="20"/>
      <c r="F321" s="20"/>
    </row>
    <row r="322" spans="2:6" x14ac:dyDescent="0.2">
      <c r="B322"/>
      <c r="D322"/>
      <c r="E322" s="20"/>
      <c r="F322" s="20"/>
    </row>
    <row r="323" spans="2:6" x14ac:dyDescent="0.2">
      <c r="B323"/>
      <c r="D323"/>
      <c r="E323" s="20"/>
      <c r="F323" s="20"/>
    </row>
    <row r="324" spans="2:6" x14ac:dyDescent="0.2">
      <c r="B324"/>
      <c r="D324"/>
      <c r="E324" s="20"/>
      <c r="F324" s="20"/>
    </row>
    <row r="325" spans="2:6" x14ac:dyDescent="0.2">
      <c r="B325"/>
      <c r="D325"/>
      <c r="E325" s="20"/>
      <c r="F325" s="20"/>
    </row>
    <row r="326" spans="2:6" x14ac:dyDescent="0.2">
      <c r="B326"/>
      <c r="D326"/>
      <c r="E326" s="20"/>
      <c r="F326" s="20"/>
    </row>
    <row r="327" spans="2:6" x14ac:dyDescent="0.2">
      <c r="B327"/>
      <c r="D327"/>
      <c r="E327" s="20"/>
      <c r="F327" s="20"/>
    </row>
    <row r="328" spans="2:6" x14ac:dyDescent="0.2">
      <c r="B328"/>
      <c r="D328"/>
      <c r="E328" s="20"/>
      <c r="F328" s="20"/>
    </row>
    <row r="329" spans="2:6" x14ac:dyDescent="0.2">
      <c r="B329"/>
      <c r="D329"/>
      <c r="E329" s="20"/>
      <c r="F329" s="20"/>
    </row>
    <row r="330" spans="2:6" x14ac:dyDescent="0.2">
      <c r="B330"/>
      <c r="D330"/>
      <c r="E330" s="20"/>
      <c r="F330" s="20"/>
    </row>
    <row r="331" spans="2:6" x14ac:dyDescent="0.2">
      <c r="B331"/>
      <c r="D331"/>
      <c r="E331" s="20"/>
      <c r="F331" s="20"/>
    </row>
    <row r="332" spans="2:6" x14ac:dyDescent="0.2">
      <c r="B332"/>
      <c r="D332"/>
      <c r="E332" s="20"/>
      <c r="F332" s="20"/>
    </row>
    <row r="333" spans="2:6" x14ac:dyDescent="0.2">
      <c r="B333"/>
      <c r="D333"/>
      <c r="E333" s="20"/>
      <c r="F333" s="20"/>
    </row>
    <row r="334" spans="2:6" x14ac:dyDescent="0.2">
      <c r="B334"/>
      <c r="D334"/>
      <c r="E334" s="20"/>
      <c r="F334" s="20"/>
    </row>
    <row r="335" spans="2:6" x14ac:dyDescent="0.2">
      <c r="B335"/>
      <c r="D335"/>
      <c r="E335" s="20"/>
      <c r="F335" s="20"/>
    </row>
    <row r="336" spans="2:6" x14ac:dyDescent="0.2">
      <c r="B336"/>
      <c r="D336"/>
      <c r="E336" s="20"/>
      <c r="F336" s="20"/>
    </row>
    <row r="337" spans="2:6" x14ac:dyDescent="0.2">
      <c r="B337"/>
      <c r="D337"/>
      <c r="E337" s="20"/>
      <c r="F337" s="20"/>
    </row>
    <row r="338" spans="2:6" x14ac:dyDescent="0.2">
      <c r="B338"/>
      <c r="D338"/>
      <c r="E338" s="20"/>
      <c r="F338" s="20"/>
    </row>
    <row r="339" spans="2:6" x14ac:dyDescent="0.2">
      <c r="B339"/>
      <c r="D339"/>
      <c r="E339" s="20"/>
      <c r="F339" s="20"/>
    </row>
    <row r="340" spans="2:6" x14ac:dyDescent="0.2">
      <c r="B340"/>
      <c r="D340"/>
      <c r="E340" s="20"/>
      <c r="F340" s="20"/>
    </row>
    <row r="341" spans="2:6" x14ac:dyDescent="0.2">
      <c r="B341"/>
      <c r="D341"/>
      <c r="E341" s="20"/>
      <c r="F341" s="20"/>
    </row>
    <row r="342" spans="2:6" x14ac:dyDescent="0.2">
      <c r="B342"/>
      <c r="D342"/>
      <c r="E342" s="20"/>
      <c r="F342" s="20"/>
    </row>
    <row r="343" spans="2:6" x14ac:dyDescent="0.2">
      <c r="B343"/>
      <c r="D343"/>
      <c r="E343" s="20"/>
      <c r="F343" s="20"/>
    </row>
    <row r="344" spans="2:6" x14ac:dyDescent="0.2">
      <c r="B344"/>
      <c r="D344"/>
      <c r="E344" s="20"/>
      <c r="F344" s="20"/>
    </row>
    <row r="345" spans="2:6" x14ac:dyDescent="0.2">
      <c r="B345"/>
      <c r="D345"/>
      <c r="E345" s="20"/>
      <c r="F345" s="20"/>
    </row>
    <row r="346" spans="2:6" x14ac:dyDescent="0.2">
      <c r="B346"/>
      <c r="D346"/>
      <c r="E346" s="20"/>
      <c r="F346" s="20"/>
    </row>
    <row r="347" spans="2:6" x14ac:dyDescent="0.2">
      <c r="B347"/>
      <c r="D347"/>
      <c r="E347" s="20"/>
      <c r="F347" s="20"/>
    </row>
    <row r="348" spans="2:6" x14ac:dyDescent="0.2">
      <c r="B348"/>
      <c r="D348"/>
      <c r="E348" s="20"/>
      <c r="F348" s="20"/>
    </row>
    <row r="349" spans="2:6" x14ac:dyDescent="0.2">
      <c r="B349"/>
      <c r="D349"/>
      <c r="E349" s="20"/>
      <c r="F349" s="20"/>
    </row>
    <row r="350" spans="2:6" x14ac:dyDescent="0.2">
      <c r="B350"/>
      <c r="D350"/>
      <c r="E350" s="20"/>
      <c r="F350" s="20"/>
    </row>
    <row r="351" spans="2:6" x14ac:dyDescent="0.2">
      <c r="B351"/>
      <c r="D351"/>
      <c r="E351" s="20"/>
      <c r="F351" s="20"/>
    </row>
    <row r="352" spans="2:6" x14ac:dyDescent="0.2">
      <c r="B352"/>
      <c r="D352"/>
      <c r="E352" s="20"/>
      <c r="F352" s="20"/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V115"/>
  <sheetViews>
    <sheetView tabSelected="1" zoomScaleNormal="100" workbookViewId="0">
      <selection activeCell="L2" sqref="L2"/>
    </sheetView>
  </sheetViews>
  <sheetFormatPr baseColWidth="10" defaultRowHeight="12.75" x14ac:dyDescent="0.2"/>
  <cols>
    <col min="1" max="1" width="5.5703125" style="135" customWidth="1"/>
    <col min="2" max="2" width="7" style="135" customWidth="1"/>
    <col min="3" max="3" width="9" style="135" customWidth="1"/>
    <col min="4" max="4" width="11.42578125" style="135"/>
    <col min="5" max="5" width="9.5703125" style="135" customWidth="1"/>
    <col min="6" max="6" width="9.85546875" style="135" bestFit="1" customWidth="1"/>
    <col min="7" max="7" width="8.140625" style="135" customWidth="1"/>
    <col min="8" max="8" width="11.42578125" style="135"/>
    <col min="9" max="9" width="7.28515625" style="135" bestFit="1" customWidth="1"/>
    <col min="10" max="10" width="12.28515625" style="135" bestFit="1" customWidth="1"/>
    <col min="11" max="11" width="8.85546875" style="135" customWidth="1"/>
    <col min="12" max="12" width="20.5703125" style="135" customWidth="1"/>
    <col min="13" max="13" width="3.7109375" style="135" customWidth="1"/>
    <col min="14" max="14" width="12.42578125" style="135" bestFit="1" customWidth="1"/>
    <col min="15" max="15" width="11.42578125" style="135"/>
    <col min="16" max="16" width="13.5703125" style="135" customWidth="1"/>
    <col min="17" max="16384" width="11.42578125" style="135"/>
  </cols>
  <sheetData>
    <row r="1" spans="1:15" s="194" customFormat="1" ht="18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5" s="194" customFormat="1" ht="18.600000000000001" customHeight="1" x14ac:dyDescent="0.2"/>
    <row r="3" spans="1:15" s="194" customFormat="1" ht="12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5" ht="26.25" customHeight="1" x14ac:dyDescent="0.25">
      <c r="B4" s="266" t="s">
        <v>68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08"/>
      <c r="N4" s="208"/>
    </row>
    <row r="5" spans="1:15" ht="22.5" customHeight="1" x14ac:dyDescent="0.25">
      <c r="A5" s="209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09"/>
    </row>
    <row r="6" spans="1:15" x14ac:dyDescent="0.2">
      <c r="N6" s="135" t="s">
        <v>49</v>
      </c>
    </row>
    <row r="7" spans="1:15" x14ac:dyDescent="0.2">
      <c r="N7" s="134"/>
      <c r="O7" s="134"/>
    </row>
    <row r="19" spans="14:22" x14ac:dyDescent="0.2">
      <c r="N19" s="135" t="s">
        <v>57</v>
      </c>
    </row>
    <row r="22" spans="14:22" x14ac:dyDescent="0.2">
      <c r="V22" s="207" t="s">
        <v>67</v>
      </c>
    </row>
    <row r="33" spans="2:15" ht="18" customHeight="1" x14ac:dyDescent="0.2"/>
    <row r="34" spans="2:15" x14ac:dyDescent="0.2">
      <c r="B34" s="207" t="s">
        <v>48</v>
      </c>
    </row>
    <row r="35" spans="2:15" x14ac:dyDescent="0.2">
      <c r="B35" s="207" t="s">
        <v>66</v>
      </c>
    </row>
    <row r="36" spans="2:15" x14ac:dyDescent="0.2">
      <c r="C36" s="199"/>
    </row>
    <row r="37" spans="2:15" ht="95.25" customHeight="1" x14ac:dyDescent="0.2">
      <c r="B37" s="269" t="s">
        <v>69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00"/>
      <c r="O37" s="193"/>
    </row>
    <row r="38" spans="2:15" ht="10.9" customHeight="1" x14ac:dyDescent="0.2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2:15" ht="3.75" customHeight="1" x14ac:dyDescent="0.2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2:15" ht="3.75" customHeight="1" x14ac:dyDescent="0.2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2:15" ht="3.75" hidden="1" customHeight="1" x14ac:dyDescent="0.2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2:15" ht="3.75" hidden="1" customHeight="1" x14ac:dyDescent="0.2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2:15" ht="3.75" hidden="1" customHeight="1" x14ac:dyDescent="0.2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2:15" ht="3.75" hidden="1" customHeight="1" x14ac:dyDescent="0.2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</row>
    <row r="45" spans="2:15" ht="3.75" hidden="1" customHeight="1" x14ac:dyDescent="0.2"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2:15" ht="3.75" hidden="1" customHeight="1" x14ac:dyDescent="0.2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</row>
    <row r="47" spans="2:15" ht="3.75" hidden="1" customHeight="1" x14ac:dyDescent="0.2"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</row>
    <row r="48" spans="2:15" ht="3.75" hidden="1" customHeight="1" x14ac:dyDescent="0.2"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  <row r="49" spans="1:14" ht="3.75" hidden="1" customHeight="1" x14ac:dyDescent="0.2"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</row>
    <row r="50" spans="1:14" ht="3.75" hidden="1" customHeight="1" x14ac:dyDescent="0.2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4" ht="3.75" hidden="1" customHeight="1" x14ac:dyDescent="0.2"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4" ht="3.75" hidden="1" customHeight="1" x14ac:dyDescent="0.2"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4" ht="3.75" hidden="1" customHeight="1" x14ac:dyDescent="0.2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4" ht="10.15" hidden="1" customHeight="1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4" ht="10.15" customHeight="1" x14ac:dyDescent="0.25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7" spans="1:14" x14ac:dyDescent="0.2">
      <c r="N57" s="203"/>
    </row>
    <row r="71" spans="14:14" x14ac:dyDescent="0.2">
      <c r="N71" s="134"/>
    </row>
    <row r="83" spans="1:15" x14ac:dyDescent="0.2">
      <c r="B83" s="207" t="s">
        <v>61</v>
      </c>
    </row>
    <row r="84" spans="1:15" ht="11.45" customHeight="1" x14ac:dyDescent="0.2"/>
    <row r="85" spans="1:15" ht="9.75" customHeight="1" x14ac:dyDescent="0.2"/>
    <row r="86" spans="1:15" ht="44.25" customHeight="1" x14ac:dyDescent="0.2">
      <c r="B86" s="267" t="s">
        <v>70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04"/>
      <c r="O86" s="138"/>
    </row>
    <row r="87" spans="1:15" ht="46.5" customHeight="1" x14ac:dyDescent="0.2">
      <c r="B87" s="271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04"/>
      <c r="O87" s="138"/>
    </row>
    <row r="88" spans="1:15" ht="4.5" customHeight="1" x14ac:dyDescent="0.2">
      <c r="A88" s="193"/>
      <c r="B88" s="268" t="s">
        <v>57</v>
      </c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04"/>
    </row>
    <row r="89" spans="1:15" ht="15" customHeight="1" x14ac:dyDescent="0.2"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</row>
    <row r="92" spans="1:15" x14ac:dyDescent="0.2">
      <c r="N92" s="138"/>
      <c r="O92" s="205"/>
    </row>
    <row r="115" spans="2:2" x14ac:dyDescent="0.2">
      <c r="B115" s="135" t="s">
        <v>37</v>
      </c>
    </row>
  </sheetData>
  <mergeCells count="5">
    <mergeCell ref="B4:L5"/>
    <mergeCell ref="B86:L86"/>
    <mergeCell ref="B88:L88"/>
    <mergeCell ref="B37:L37"/>
    <mergeCell ref="B87:L87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69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ESTRUCTURA oil (no)</vt:lpstr>
      <vt:lpstr>ESTRUCTURA gas (no)</vt:lpstr>
      <vt:lpstr>prod. total</vt:lpstr>
      <vt:lpstr>'ESTRUCTURA gas (no)'!Área_de_impresión</vt:lpstr>
      <vt:lpstr>'ESTRUCTURA oil (no)'!Área_de_impresión</vt:lpstr>
      <vt:lpstr>'prod. total'!Área_de_impresión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2017-05-09T22:25:08Z</cp:lastPrinted>
  <dcterms:created xsi:type="dcterms:W3CDTF">1997-07-01T22:48:52Z</dcterms:created>
  <dcterms:modified xsi:type="dcterms:W3CDTF">2017-06-06T22:32:08Z</dcterms:modified>
</cp:coreProperties>
</file>